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24226"/>
  <mc:AlternateContent xmlns:mc="http://schemas.openxmlformats.org/markup-compatibility/2006">
    <mc:Choice Requires="x15">
      <x15ac:absPath xmlns:x15ac="http://schemas.microsoft.com/office/spreadsheetml/2010/11/ac" url="C:\Users\Fredy.Varela\Downloads\"/>
    </mc:Choice>
  </mc:AlternateContent>
  <bookViews>
    <workbookView xWindow="0" yWindow="0" windowWidth="28800" windowHeight="12330"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 r:id="rId11"/>
    <externalReference r:id="rId12"/>
    <externalReference r:id="rId13"/>
  </externalReferences>
  <calcPr calcId="162913"/>
  <pivotCaches>
    <pivotCache cacheId="1" r:id="rId1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0" i="1" l="1"/>
  <c r="AC51" i="1"/>
  <c r="AB51" i="1"/>
  <c r="AA51" i="1" s="1"/>
  <c r="Z51" i="1"/>
  <c r="X51" i="1"/>
  <c r="X33" i="1"/>
  <c r="X28" i="1"/>
  <c r="X26" i="1"/>
  <c r="T51" i="1"/>
  <c r="T30" i="1"/>
  <c r="Q51" i="1"/>
  <c r="Q38" i="1"/>
  <c r="Q35" i="1"/>
  <c r="Q30" i="1"/>
  <c r="X30" i="1" s="1"/>
  <c r="Z30" i="1" s="1"/>
  <c r="N50" i="1"/>
  <c r="N51" i="1"/>
  <c r="N52" i="1"/>
  <c r="N43" i="1"/>
  <c r="N44" i="1"/>
  <c r="N45" i="1"/>
  <c r="N46" i="1"/>
  <c r="N47" i="1"/>
  <c r="N48" i="1"/>
  <c r="N41" i="1"/>
  <c r="N38" i="1"/>
  <c r="N35" i="1"/>
  <c r="N33" i="1"/>
  <c r="N31" i="1"/>
  <c r="M50" i="1"/>
  <c r="M51" i="1"/>
  <c r="M52" i="1"/>
  <c r="M46" i="1"/>
  <c r="M47" i="1"/>
  <c r="M48" i="1"/>
  <c r="M44" i="1"/>
  <c r="M45" i="1"/>
  <c r="M43" i="1"/>
  <c r="M41" i="1"/>
  <c r="M38" i="1"/>
  <c r="M33" i="1"/>
  <c r="M27" i="1"/>
  <c r="M26" i="1"/>
  <c r="M25" i="1"/>
  <c r="K26" i="1"/>
  <c r="K27" i="1"/>
  <c r="I51" i="1"/>
  <c r="I50" i="1"/>
  <c r="I45" i="1"/>
  <c r="I46" i="1"/>
  <c r="I47" i="1"/>
  <c r="I48" i="1"/>
  <c r="I44" i="1"/>
  <c r="I43" i="1"/>
  <c r="I38" i="1"/>
  <c r="I35" i="1"/>
  <c r="I33" i="1"/>
  <c r="I31" i="1"/>
  <c r="I30" i="1"/>
  <c r="I29" i="1"/>
  <c r="I28" i="1"/>
  <c r="H51" i="1"/>
  <c r="H52" i="1"/>
  <c r="H50" i="1"/>
  <c r="H48" i="1"/>
  <c r="H49" i="1"/>
  <c r="H46" i="1"/>
  <c r="H47" i="1"/>
  <c r="H45" i="1"/>
  <c r="H44" i="1"/>
  <c r="H43" i="1"/>
  <c r="H38" i="1"/>
  <c r="H35" i="1"/>
  <c r="H31" i="1"/>
  <c r="H30" i="1"/>
  <c r="H29" i="1"/>
  <c r="H28" i="1"/>
  <c r="N28" i="1" s="1"/>
  <c r="N25" i="1"/>
  <c r="N26" i="1"/>
  <c r="N27" i="1"/>
  <c r="N30" i="1"/>
  <c r="M28" i="1"/>
  <c r="M30" i="1"/>
  <c r="AB30" i="1" l="1"/>
  <c r="AA30" i="1" s="1"/>
  <c r="AC30" i="1" s="1"/>
  <c r="H57" i="1" l="1"/>
  <c r="I57" i="1" s="1"/>
  <c r="H56" i="1"/>
  <c r="I56" i="1" s="1"/>
  <c r="H55" i="1"/>
  <c r="I55" i="1" s="1"/>
  <c r="H54" i="1"/>
  <c r="I54" i="1" s="1"/>
  <c r="H53" i="1"/>
  <c r="I53" i="1" s="1"/>
  <c r="I52" i="1"/>
  <c r="I49" i="1"/>
  <c r="L53" i="1"/>
  <c r="M53" i="1" s="1"/>
  <c r="L54" i="1"/>
  <c r="M54" i="1" s="1"/>
  <c r="M49" i="1"/>
  <c r="L55" i="1"/>
  <c r="M55" i="1" s="1"/>
  <c r="L56" i="1"/>
  <c r="M56" i="1" s="1"/>
  <c r="L57" i="1"/>
  <c r="Q43" i="1"/>
  <c r="T43" i="1"/>
  <c r="Q44" i="1"/>
  <c r="T44" i="1"/>
  <c r="Q45" i="1"/>
  <c r="AB45" i="1" s="1"/>
  <c r="AA45" i="1" s="1"/>
  <c r="T45" i="1"/>
  <c r="Q46" i="1"/>
  <c r="AB46" i="1" s="1"/>
  <c r="AA46" i="1" s="1"/>
  <c r="T46" i="1"/>
  <c r="Q47" i="1"/>
  <c r="T47" i="1"/>
  <c r="X47" i="1"/>
  <c r="Y47" i="1" s="1"/>
  <c r="AB47" i="1"/>
  <c r="AA47" i="1" s="1"/>
  <c r="Q48" i="1"/>
  <c r="AB48" i="1" s="1"/>
  <c r="AA48" i="1" s="1"/>
  <c r="T48" i="1"/>
  <c r="Q49" i="1"/>
  <c r="T49" i="1"/>
  <c r="Q50" i="1"/>
  <c r="AB50" i="1" s="1"/>
  <c r="AA50" i="1" s="1"/>
  <c r="T50" i="1"/>
  <c r="Q52" i="1"/>
  <c r="T52" i="1"/>
  <c r="Q53" i="1"/>
  <c r="T53" i="1"/>
  <c r="Q54" i="1"/>
  <c r="T54" i="1"/>
  <c r="Q55" i="1"/>
  <c r="T55" i="1"/>
  <c r="Q56" i="1"/>
  <c r="T56" i="1"/>
  <c r="Q57" i="1"/>
  <c r="T57" i="1"/>
  <c r="K50" i="1"/>
  <c r="K46" i="1"/>
  <c r="K51" i="1"/>
  <c r="K52" i="1"/>
  <c r="K45" i="1"/>
  <c r="K43" i="1"/>
  <c r="K48" i="1"/>
  <c r="K44" i="1"/>
  <c r="K47" i="1"/>
  <c r="AB43" i="1" l="1"/>
  <c r="AA43" i="1" s="1"/>
  <c r="X44" i="1"/>
  <c r="Y44" i="1" s="1"/>
  <c r="AB56" i="1"/>
  <c r="AA56" i="1" s="1"/>
  <c r="X53" i="1"/>
  <c r="AB49" i="1"/>
  <c r="AA49" i="1" s="1"/>
  <c r="X43" i="1"/>
  <c r="Z43" i="1" s="1"/>
  <c r="AB54" i="1"/>
  <c r="AA54" i="1" s="1"/>
  <c r="AB44" i="1"/>
  <c r="AA44" i="1" s="1"/>
  <c r="AB53" i="1"/>
  <c r="AA53" i="1" s="1"/>
  <c r="X56" i="1"/>
  <c r="Y56" i="1" s="1"/>
  <c r="X48" i="1"/>
  <c r="Y48" i="1" s="1"/>
  <c r="AC48" i="1" s="1"/>
  <c r="N49" i="1"/>
  <c r="N55" i="1"/>
  <c r="M57" i="1"/>
  <c r="AB57" i="1" s="1"/>
  <c r="AA57" i="1" s="1"/>
  <c r="N57" i="1"/>
  <c r="N54" i="1"/>
  <c r="X55" i="1"/>
  <c r="Z55" i="1" s="1"/>
  <c r="N56" i="1"/>
  <c r="N53" i="1"/>
  <c r="AC47" i="1"/>
  <c r="Y53" i="1"/>
  <c r="Z53" i="1"/>
  <c r="X52" i="1"/>
  <c r="X57" i="1"/>
  <c r="AB55" i="1"/>
  <c r="AA55" i="1" s="1"/>
  <c r="AB52" i="1"/>
  <c r="AA52" i="1" s="1"/>
  <c r="X50" i="1"/>
  <c r="X46" i="1"/>
  <c r="X54" i="1"/>
  <c r="X49" i="1"/>
  <c r="X45" i="1"/>
  <c r="Z47" i="1"/>
  <c r="K49" i="1"/>
  <c r="Z44" i="1" l="1"/>
  <c r="AC44" i="1"/>
  <c r="Y43" i="1"/>
  <c r="AC43" i="1" s="1"/>
  <c r="Z48" i="1"/>
  <c r="AC56" i="1"/>
  <c r="AC53" i="1"/>
  <c r="Z56" i="1"/>
  <c r="Y55" i="1"/>
  <c r="AC55" i="1" s="1"/>
  <c r="Z50" i="1"/>
  <c r="Y50" i="1"/>
  <c r="AC50" i="1" s="1"/>
  <c r="Y49" i="1"/>
  <c r="AC49" i="1" s="1"/>
  <c r="Z49" i="1"/>
  <c r="Z46" i="1"/>
  <c r="Y46" i="1"/>
  <c r="AC46" i="1" s="1"/>
  <c r="Y54" i="1"/>
  <c r="AC54" i="1" s="1"/>
  <c r="Z54" i="1"/>
  <c r="Z57" i="1"/>
  <c r="Y57" i="1"/>
  <c r="AC57" i="1" s="1"/>
  <c r="Y52" i="1"/>
  <c r="AC52" i="1" s="1"/>
  <c r="Z52" i="1"/>
  <c r="Z45" i="1"/>
  <c r="Y45" i="1"/>
  <c r="AC45" i="1" s="1"/>
  <c r="T41" i="1" l="1"/>
  <c r="Q41" i="1"/>
  <c r="H41" i="1"/>
  <c r="I41" i="1" s="1"/>
  <c r="X38" i="1"/>
  <c r="Z38" i="1" s="1"/>
  <c r="T38" i="1"/>
  <c r="AB38" i="1" s="1"/>
  <c r="AA38" i="1" s="1"/>
  <c r="X35" i="1"/>
  <c r="Z35" i="1" s="1"/>
  <c r="T35" i="1"/>
  <c r="M35" i="1"/>
  <c r="Z33" i="1"/>
  <c r="Y33" i="1"/>
  <c r="T33" i="1"/>
  <c r="Q33" i="1"/>
  <c r="H33" i="1"/>
  <c r="T31" i="1"/>
  <c r="Q31" i="1"/>
  <c r="AB31" i="1" s="1"/>
  <c r="AA31" i="1" s="1"/>
  <c r="M31" i="1"/>
  <c r="AB41" i="1" l="1"/>
  <c r="AA41" i="1" s="1"/>
  <c r="AB33" i="1"/>
  <c r="AA33" i="1" s="1"/>
  <c r="AC33" i="1" s="1"/>
  <c r="Y38" i="1"/>
  <c r="AC38" i="1" s="1"/>
  <c r="AB35" i="1"/>
  <c r="AA35" i="1" s="1"/>
  <c r="X41" i="1"/>
  <c r="X31" i="1"/>
  <c r="Y35" i="1"/>
  <c r="AC35" i="1" s="1"/>
  <c r="Y31" i="1" l="1"/>
  <c r="AC31" i="1" s="1"/>
  <c r="Z31" i="1"/>
  <c r="Y41" i="1"/>
  <c r="AC41" i="1" s="1"/>
  <c r="Z41" i="1"/>
  <c r="T29" i="1" l="1"/>
  <c r="Q29" i="1"/>
  <c r="N29" i="1"/>
  <c r="Z28" i="1"/>
  <c r="Y28" i="1"/>
  <c r="T28" i="1"/>
  <c r="Q28" i="1"/>
  <c r="K28" i="1"/>
  <c r="T27" i="1"/>
  <c r="Q27" i="1"/>
  <c r="H27" i="1"/>
  <c r="I27" i="1" s="1"/>
  <c r="H26" i="1"/>
  <c r="I26" i="1" s="1"/>
  <c r="AB28" i="1" l="1"/>
  <c r="AA28" i="1" s="1"/>
  <c r="AC28" i="1" s="1"/>
  <c r="X27" i="1"/>
  <c r="Y27" i="1" s="1"/>
  <c r="X29" i="1"/>
  <c r="M29" i="1"/>
  <c r="AB29" i="1" s="1"/>
  <c r="AA29" i="1" s="1"/>
  <c r="AB27" i="1"/>
  <c r="AA27" i="1" s="1"/>
  <c r="Z27" i="1" l="1"/>
  <c r="Z29" i="1"/>
  <c r="Y29" i="1"/>
  <c r="AC29" i="1" s="1"/>
  <c r="AC27" i="1"/>
  <c r="T26" i="1" l="1"/>
  <c r="Q26" i="1"/>
  <c r="T25" i="1"/>
  <c r="Q25" i="1"/>
  <c r="H25" i="1"/>
  <c r="I25" i="1" s="1"/>
  <c r="AB25" i="1" l="1"/>
  <c r="AA25" i="1" s="1"/>
  <c r="X25" i="1"/>
  <c r="Z26" i="1" l="1"/>
  <c r="Y26" i="1"/>
  <c r="Z25" i="1"/>
  <c r="Y25" i="1"/>
  <c r="AC25" i="1" s="1"/>
  <c r="T22" i="1" l="1"/>
  <c r="Q22" i="1"/>
  <c r="H22" i="1"/>
  <c r="I22" i="1" s="1"/>
  <c r="T19" i="1"/>
  <c r="Q19" i="1"/>
  <c r="H19" i="1"/>
  <c r="I19" i="1" s="1"/>
  <c r="T17" i="1"/>
  <c r="Q17" i="1"/>
  <c r="H17" i="1"/>
  <c r="T14" i="1"/>
  <c r="Q14" i="1"/>
  <c r="H14" i="1"/>
  <c r="T10" i="1"/>
  <c r="Q10" i="1"/>
  <c r="H10" i="1"/>
  <c r="X22" i="1" l="1"/>
  <c r="I10" i="1"/>
  <c r="X10" i="1" s="1"/>
  <c r="X19" i="1"/>
  <c r="I14" i="1"/>
  <c r="X14" i="1" s="1"/>
  <c r="I17" i="1"/>
  <c r="X17" i="1" s="1"/>
  <c r="Y10" i="1" l="1"/>
  <c r="Z10" i="1"/>
  <c r="Z14" i="1"/>
  <c r="Y14" i="1"/>
  <c r="Z17" i="1"/>
  <c r="Y17" i="1"/>
  <c r="Z22" i="1"/>
  <c r="Y22" i="1"/>
  <c r="Z19" i="1"/>
  <c r="Y19" i="1"/>
  <c r="K17" i="1" l="1"/>
  <c r="L17" i="1" s="1"/>
  <c r="M17" i="1" s="1"/>
  <c r="K14" i="1"/>
  <c r="L14" i="1" s="1"/>
  <c r="K22" i="1"/>
  <c r="L22" i="1" s="1"/>
  <c r="K19" i="1"/>
  <c r="L19" i="1" s="1"/>
  <c r="K10" i="1"/>
  <c r="L10" i="1" s="1"/>
  <c r="AB26" i="1" l="1"/>
  <c r="AA26" i="1" s="1"/>
  <c r="AC26" i="1" s="1"/>
  <c r="N22" i="1"/>
  <c r="M22" i="1"/>
  <c r="AB22" i="1" s="1"/>
  <c r="AA22" i="1" s="1"/>
  <c r="AC22" i="1" s="1"/>
  <c r="N19" i="1"/>
  <c r="M19" i="1"/>
  <c r="AB19" i="1" s="1"/>
  <c r="AA19" i="1" s="1"/>
  <c r="AC19" i="1" s="1"/>
  <c r="M14" i="1"/>
  <c r="AB14" i="1" s="1"/>
  <c r="AA14" i="1" s="1"/>
  <c r="AC14" i="1" s="1"/>
  <c r="N14" i="1"/>
  <c r="M10" i="1"/>
  <c r="AB10" i="1" s="1"/>
  <c r="AA10" i="1" s="1"/>
  <c r="AC10" i="1" s="1"/>
  <c r="N10" i="1"/>
  <c r="AB17" i="1"/>
  <c r="AA17" i="1" s="1"/>
  <c r="AC17" i="1" s="1"/>
  <c r="N17" i="1"/>
  <c r="F221" i="13"/>
  <c r="F211" i="13"/>
  <c r="F212" i="13"/>
  <c r="F213" i="13"/>
  <c r="F214" i="13"/>
  <c r="F215" i="13"/>
  <c r="F216" i="13"/>
  <c r="F217" i="13"/>
  <c r="F218" i="13"/>
  <c r="F219" i="13"/>
  <c r="F220" i="13"/>
  <c r="F210" i="13"/>
  <c r="B221" i="13" a="1"/>
  <c r="B221" i="1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2" i="19" l="1"/>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J11" i="19" l="1"/>
  <c r="V11" i="19"/>
  <c r="AB21" i="19"/>
  <c r="P31" i="19"/>
  <c r="J31" i="19"/>
  <c r="AB41" i="19"/>
  <c r="AH41" i="19"/>
  <c r="P41" i="19"/>
  <c r="J21" i="19"/>
  <c r="AB31" i="19"/>
  <c r="AB51" i="19"/>
  <c r="P21" i="19"/>
  <c r="V41" i="19"/>
  <c r="V31" i="19"/>
  <c r="AH21" i="19"/>
  <c r="AB11" i="19"/>
  <c r="P51" i="19"/>
  <c r="V21" i="19"/>
  <c r="AH31" i="19"/>
  <c r="V51" i="19"/>
  <c r="J51" i="19"/>
  <c r="AH51" i="19"/>
  <c r="AH11" i="19"/>
  <c r="J41" i="19"/>
  <c r="P11" i="19"/>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V32" i="19"/>
  <c r="P42" i="19"/>
  <c r="J12" i="19"/>
  <c r="J32" i="19"/>
  <c r="AB52" i="19"/>
  <c r="J22" i="19"/>
  <c r="V22" i="19"/>
  <c r="J52" i="19"/>
  <c r="AH12" i="19"/>
  <c r="J42" i="19"/>
  <c r="AH42" i="19"/>
  <c r="P32" i="19"/>
  <c r="AB12" i="19"/>
  <c r="AH32" i="19"/>
  <c r="AB32" i="19"/>
  <c r="AB42" i="19"/>
  <c r="V42" i="19"/>
  <c r="V12" i="19"/>
  <c r="V52" i="19"/>
  <c r="AB22" i="19"/>
  <c r="AH52" i="19"/>
  <c r="AH22" i="19"/>
  <c r="P22" i="19"/>
  <c r="P12" i="19"/>
  <c r="P52" i="19"/>
  <c r="K35" i="19" l="1"/>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P14" i="18" l="1"/>
  <c r="V22" i="18"/>
  <c r="V14" i="18"/>
  <c r="P22" i="18"/>
  <c r="V38" i="18"/>
  <c r="AH14" i="18"/>
  <c r="AH38" i="18"/>
  <c r="J14" i="18"/>
  <c r="AB22" i="18"/>
  <c r="V30" i="18"/>
  <c r="AB14" i="18"/>
  <c r="AB38" i="18"/>
  <c r="J30" i="18"/>
  <c r="P38" i="18"/>
  <c r="AB6" i="18"/>
  <c r="AH30" i="18"/>
  <c r="J38" i="18"/>
  <c r="AH6" i="18"/>
  <c r="V6" i="18"/>
  <c r="AB30" i="18"/>
  <c r="J22" i="18"/>
  <c r="J6" i="18"/>
  <c r="P30" i="18"/>
  <c r="AH22" i="18"/>
  <c r="P6" i="18"/>
  <c r="AH6" i="19" l="1"/>
  <c r="P16" i="19"/>
  <c r="P6" i="19"/>
  <c r="V46" i="19"/>
  <c r="AH46" i="19"/>
  <c r="AB46" i="19"/>
  <c r="J6" i="19"/>
  <c r="P46" i="19"/>
  <c r="AB26" i="19"/>
  <c r="AB16" i="19"/>
  <c r="AH26" i="19"/>
  <c r="J16" i="19"/>
  <c r="V26" i="19"/>
  <c r="AH36" i="19"/>
  <c r="P26" i="19"/>
  <c r="V16" i="19"/>
  <c r="V36" i="19"/>
  <c r="AH16" i="19"/>
  <c r="V6" i="19"/>
  <c r="AB36" i="19"/>
  <c r="AB6" i="19"/>
  <c r="P36" i="19"/>
  <c r="J36" i="19"/>
  <c r="J26" i="19"/>
  <c r="J46" i="19"/>
  <c r="W36" i="19" l="1"/>
  <c r="AC36" i="19"/>
  <c r="K16" i="19"/>
  <c r="K46" i="19"/>
  <c r="AI46" i="19"/>
  <c r="AC46" i="19"/>
  <c r="Q46" i="19"/>
  <c r="AC26" i="19"/>
  <c r="AC16" i="19"/>
  <c r="W16" i="19"/>
  <c r="K36" i="19"/>
  <c r="Q26" i="19"/>
  <c r="Q6" i="19"/>
  <c r="K6" i="19"/>
  <c r="Q16" i="19"/>
  <c r="AI6" i="19"/>
  <c r="AI16" i="19"/>
  <c r="Q36" i="19"/>
  <c r="W6" i="19"/>
  <c r="W26" i="19"/>
  <c r="K26" i="19"/>
  <c r="W46" i="19"/>
  <c r="AI36" i="19"/>
  <c r="AI26" i="19"/>
  <c r="AC6" i="19"/>
  <c r="AD46" i="19"/>
  <c r="R6" i="19"/>
  <c r="X46" i="19"/>
  <c r="AJ16" i="19"/>
  <c r="AD16" i="19"/>
  <c r="AJ46" i="19"/>
  <c r="L36" i="19"/>
  <c r="AJ6" i="19"/>
  <c r="X26" i="19"/>
  <c r="AD6" i="19"/>
  <c r="R16" i="19"/>
  <c r="X16" i="19"/>
  <c r="AD36" i="19"/>
  <c r="AJ36" i="19"/>
  <c r="R26" i="19"/>
  <c r="L16" i="19"/>
  <c r="AJ26" i="19"/>
  <c r="R46" i="19"/>
  <c r="L46" i="19"/>
  <c r="AD26" i="19"/>
  <c r="L6" i="19"/>
  <c r="L26" i="19"/>
  <c r="X6" i="19"/>
  <c r="R36" i="19"/>
  <c r="X36" i="19"/>
  <c r="X6" i="18" l="1"/>
  <c r="L30" i="18"/>
  <c r="L38" i="18"/>
  <c r="R14" i="18"/>
  <c r="AD6" i="18"/>
  <c r="AD30" i="18"/>
  <c r="AJ38" i="18"/>
  <c r="AD38" i="18"/>
  <c r="AJ30" i="18"/>
  <c r="R38" i="18"/>
  <c r="AD14" i="18"/>
  <c r="L6" i="18"/>
  <c r="R30" i="18"/>
  <c r="X22" i="18"/>
  <c r="X38" i="18"/>
  <c r="AJ22" i="18"/>
  <c r="X30" i="18"/>
  <c r="L14" i="18"/>
  <c r="R22" i="18"/>
  <c r="AJ14" i="18"/>
  <c r="R6" i="18"/>
  <c r="AD22" i="18"/>
  <c r="X14" i="18"/>
  <c r="L22" i="18"/>
  <c r="AJ6" i="18"/>
  <c r="AL10" i="18"/>
  <c r="Z26" i="18"/>
  <c r="Z10" i="18"/>
  <c r="N18" i="18"/>
  <c r="AF10" i="18"/>
  <c r="T34" i="18"/>
  <c r="N34" i="18"/>
  <c r="T42" i="18"/>
  <c r="AL26" i="18"/>
  <c r="AL34" i="18"/>
  <c r="Z34" i="18"/>
  <c r="T10" i="18"/>
  <c r="T26" i="18"/>
  <c r="Z42" i="18"/>
  <c r="AL42" i="18"/>
  <c r="T18" i="18"/>
  <c r="AF34" i="18"/>
  <c r="AF26" i="18"/>
  <c r="N26" i="18"/>
  <c r="AF42" i="18"/>
  <c r="Z18" i="18"/>
  <c r="AF18" i="18"/>
  <c r="AL18" i="18"/>
  <c r="N10" i="18"/>
  <c r="N42" i="18"/>
  <c r="Z32" i="18"/>
  <c r="N40" i="18"/>
  <c r="N16" i="18"/>
  <c r="AL16" i="18"/>
  <c r="T40" i="18"/>
  <c r="N8" i="18"/>
  <c r="AL8" i="18"/>
  <c r="T32" i="18"/>
  <c r="AF24" i="18"/>
  <c r="N32" i="18"/>
  <c r="Z24" i="18"/>
  <c r="AF32" i="18"/>
  <c r="Z8" i="18"/>
  <c r="AL40" i="18"/>
  <c r="Z40" i="18"/>
  <c r="N24" i="18"/>
  <c r="T16" i="18"/>
  <c r="AF8" i="18"/>
  <c r="T8" i="18"/>
  <c r="AF40" i="18"/>
  <c r="AF16" i="18"/>
  <c r="AL32" i="18"/>
  <c r="Z16" i="18"/>
  <c r="T24" i="18"/>
  <c r="AL24" i="18"/>
  <c r="P10" i="18"/>
  <c r="J10" i="18"/>
  <c r="V42" i="18"/>
  <c r="P26" i="18"/>
  <c r="AB26" i="18"/>
  <c r="AH26" i="18"/>
  <c r="J42" i="18"/>
  <c r="P18" i="18"/>
  <c r="AB34" i="18"/>
  <c r="V10" i="18"/>
  <c r="V34" i="18"/>
  <c r="AB10" i="18"/>
  <c r="AH42" i="18"/>
  <c r="J26" i="18"/>
  <c r="AH10" i="18"/>
  <c r="V26" i="18"/>
  <c r="P34" i="18"/>
  <c r="AB18" i="18"/>
  <c r="P42" i="18"/>
  <c r="J18" i="18"/>
  <c r="V18" i="18"/>
  <c r="AB42" i="18"/>
  <c r="AH34" i="18"/>
  <c r="J34" i="18"/>
  <c r="AH18" i="18"/>
  <c r="AD26" i="18"/>
  <c r="L26" i="18"/>
  <c r="R34" i="18"/>
  <c r="X34" i="18"/>
  <c r="X10" i="18"/>
  <c r="R10" i="18"/>
  <c r="R42" i="18"/>
  <c r="X26" i="18"/>
  <c r="L10" i="18"/>
  <c r="L18" i="18"/>
  <c r="AD18" i="18"/>
  <c r="X18" i="18"/>
  <c r="L34" i="18"/>
  <c r="AJ42" i="18"/>
  <c r="R18" i="18"/>
  <c r="AJ10" i="18"/>
  <c r="AD42" i="18"/>
  <c r="L42" i="18"/>
  <c r="AJ26" i="18"/>
  <c r="X42" i="18"/>
  <c r="AD34" i="18"/>
  <c r="AD10" i="18"/>
  <c r="AJ34" i="18"/>
  <c r="R26" i="18"/>
  <c r="AJ18" i="18"/>
  <c r="X40" i="18"/>
  <c r="X32" i="18"/>
  <c r="X8" i="18"/>
  <c r="AD32" i="18"/>
  <c r="AJ8" i="18"/>
  <c r="AJ16" i="18"/>
  <c r="L40" i="18"/>
  <c r="AD24" i="18"/>
  <c r="AJ40" i="18"/>
  <c r="L16" i="18"/>
  <c r="AD40" i="18"/>
  <c r="R24" i="18"/>
  <c r="X24" i="18"/>
  <c r="L8" i="18"/>
  <c r="AD16" i="18"/>
  <c r="R32" i="18"/>
  <c r="R40" i="18"/>
  <c r="L32" i="18"/>
  <c r="R16" i="18"/>
  <c r="R8" i="18"/>
  <c r="X16" i="18"/>
  <c r="AD8" i="18"/>
  <c r="L24" i="18"/>
  <c r="AJ24" i="18"/>
  <c r="AJ32" i="18"/>
  <c r="T14" i="18"/>
  <c r="AF38" i="18"/>
  <c r="Z14" i="18"/>
  <c r="Z6" i="18"/>
  <c r="AL30" i="18"/>
  <c r="AL22" i="18"/>
  <c r="T22" i="18"/>
  <c r="AL14" i="18"/>
  <c r="AF14" i="18"/>
  <c r="AF30" i="18"/>
  <c r="AL38" i="18"/>
  <c r="Z38" i="18"/>
  <c r="T38" i="18"/>
  <c r="T6" i="18"/>
  <c r="N22" i="18"/>
  <c r="Z22" i="18"/>
  <c r="N14" i="18"/>
  <c r="N38" i="18"/>
  <c r="N30" i="18"/>
  <c r="AF22" i="18"/>
  <c r="Z30" i="18"/>
  <c r="AL6" i="18"/>
  <c r="N6" i="18"/>
  <c r="T30" i="18"/>
  <c r="AF6" i="18"/>
  <c r="J44" i="18"/>
  <c r="V44" i="18"/>
  <c r="J12" i="18"/>
  <c r="P12" i="18"/>
  <c r="AH44" i="18"/>
  <c r="P44" i="18"/>
  <c r="AB12" i="18"/>
  <c r="AB36" i="18"/>
  <c r="AB28" i="18"/>
  <c r="J28" i="18"/>
  <c r="V12" i="18"/>
  <c r="V28" i="18"/>
  <c r="AH20" i="18"/>
  <c r="AB20" i="18"/>
  <c r="P28" i="18"/>
  <c r="P20" i="18"/>
  <c r="AH28" i="18"/>
  <c r="AH12" i="18"/>
  <c r="J20" i="18"/>
  <c r="J36" i="18"/>
  <c r="P36" i="18"/>
  <c r="AB44" i="18"/>
  <c r="V36" i="18"/>
  <c r="V20" i="18"/>
  <c r="AH36" i="18"/>
  <c r="P24" i="18"/>
  <c r="AB32" i="18"/>
  <c r="P40" i="18"/>
  <c r="V32" i="18"/>
  <c r="AH32" i="18"/>
  <c r="AB16" i="18"/>
  <c r="V8" i="18"/>
  <c r="AH24" i="18"/>
  <c r="V40" i="18"/>
  <c r="AB8" i="18"/>
  <c r="J40" i="18"/>
  <c r="J32" i="18"/>
  <c r="AB40" i="18"/>
  <c r="P8" i="18"/>
  <c r="AH16" i="18"/>
  <c r="AB24" i="18"/>
  <c r="V16" i="18"/>
  <c r="P16" i="18"/>
  <c r="J24" i="18"/>
  <c r="P32" i="18"/>
  <c r="J16" i="18"/>
  <c r="V24" i="18"/>
  <c r="AH8" i="18"/>
  <c r="AH40" i="18"/>
  <c r="J8" i="18"/>
  <c r="J40" i="19" l="1"/>
  <c r="P50" i="19"/>
  <c r="AB30" i="19"/>
  <c r="P10" i="19"/>
  <c r="V10" i="19"/>
  <c r="AB40" i="19"/>
  <c r="V30" i="19"/>
  <c r="AB10" i="19"/>
  <c r="AB20" i="19"/>
  <c r="AH50" i="19"/>
  <c r="P30" i="19"/>
  <c r="V50" i="19"/>
  <c r="AH20" i="19"/>
  <c r="AH30" i="19"/>
  <c r="AB50" i="19"/>
  <c r="J30" i="19"/>
  <c r="AH40" i="19"/>
  <c r="P20" i="19"/>
  <c r="P40" i="19"/>
  <c r="V40" i="19"/>
  <c r="V20" i="19"/>
  <c r="J10" i="19"/>
  <c r="AH10" i="19"/>
  <c r="J50" i="19"/>
  <c r="J20" i="19"/>
  <c r="V9" i="19"/>
  <c r="AH49" i="19"/>
  <c r="AB9" i="19"/>
  <c r="J9" i="19"/>
  <c r="AB39" i="19"/>
  <c r="AH29" i="19"/>
  <c r="P49" i="19"/>
  <c r="J19" i="19"/>
  <c r="J39" i="19"/>
  <c r="P9" i="19"/>
  <c r="AH19" i="19"/>
  <c r="J29" i="19"/>
  <c r="P19" i="19"/>
  <c r="AB19" i="19"/>
  <c r="V49" i="19"/>
  <c r="V29" i="19"/>
  <c r="AH9" i="19"/>
  <c r="J49" i="19"/>
  <c r="AB29" i="19"/>
  <c r="P29" i="19"/>
  <c r="P39" i="19"/>
  <c r="AH39" i="19"/>
  <c r="AB49" i="19"/>
  <c r="V39" i="19"/>
  <c r="V19" i="19"/>
  <c r="AH55" i="19"/>
  <c r="AB55" i="19"/>
  <c r="AH35" i="19"/>
  <c r="V15" i="19"/>
  <c r="P25" i="19"/>
  <c r="V25" i="19"/>
  <c r="J25" i="19"/>
  <c r="J15" i="19"/>
  <c r="AB45" i="19"/>
  <c r="J55" i="19"/>
  <c r="AB15" i="19"/>
  <c r="P45" i="19"/>
  <c r="P55" i="19"/>
  <c r="AH45" i="19"/>
  <c r="AH15" i="19"/>
  <c r="AH25" i="19"/>
  <c r="P15" i="19"/>
  <c r="AB25" i="19"/>
  <c r="J45" i="19"/>
  <c r="AB35" i="19"/>
  <c r="J35" i="19"/>
  <c r="P35" i="19"/>
  <c r="V45" i="19"/>
  <c r="V55" i="19"/>
  <c r="V35" i="19"/>
  <c r="V7" i="19" l="1"/>
  <c r="J37" i="19"/>
  <c r="P47" i="19"/>
  <c r="V17" i="19"/>
  <c r="V37" i="19"/>
  <c r="P37" i="19"/>
  <c r="AB7" i="19"/>
  <c r="AH7" i="19"/>
  <c r="V27" i="19"/>
  <c r="P27" i="19"/>
  <c r="J7" i="19"/>
  <c r="AH27" i="19"/>
  <c r="AB47" i="19"/>
  <c r="AB17" i="19"/>
  <c r="J27" i="19"/>
  <c r="J47" i="19"/>
  <c r="AH17" i="19"/>
  <c r="P7" i="19"/>
  <c r="AB37" i="19"/>
  <c r="AB27" i="19"/>
  <c r="AH37" i="19"/>
  <c r="AH47" i="19"/>
  <c r="V47" i="19"/>
  <c r="J17" i="19"/>
  <c r="P17" i="19"/>
  <c r="AB8" i="19"/>
  <c r="V8" i="19"/>
  <c r="AH28" i="19"/>
  <c r="J48" i="19"/>
  <c r="P8" i="19"/>
  <c r="P28" i="19"/>
  <c r="J28" i="19"/>
  <c r="P38" i="19"/>
  <c r="P18" i="19"/>
  <c r="AB38" i="19"/>
  <c r="V28" i="19"/>
  <c r="V38" i="19"/>
  <c r="AH48" i="19"/>
  <c r="AH38" i="19"/>
  <c r="AB18" i="19"/>
  <c r="V48" i="19"/>
  <c r="J38" i="19"/>
  <c r="AB48" i="19"/>
  <c r="V18" i="19"/>
  <c r="AB28" i="19"/>
  <c r="AH8" i="19"/>
  <c r="J8" i="19"/>
  <c r="J18" i="19"/>
  <c r="AH18" i="19"/>
  <c r="P48" i="19"/>
  <c r="AJ28" i="19" l="1"/>
  <c r="AJ48" i="19"/>
  <c r="X8" i="19"/>
  <c r="AD28" i="19"/>
  <c r="L8" i="19"/>
  <c r="X28" i="19"/>
  <c r="AD48" i="19"/>
  <c r="X38" i="19"/>
  <c r="AJ8" i="19"/>
  <c r="R18" i="19"/>
  <c r="AD18" i="19"/>
  <c r="L38" i="19"/>
  <c r="X18" i="19"/>
  <c r="AJ18" i="19"/>
  <c r="R28" i="19"/>
  <c r="R48" i="19"/>
  <c r="L18" i="19"/>
  <c r="L28" i="19"/>
  <c r="AD38" i="19"/>
  <c r="AD8" i="19"/>
  <c r="L48" i="19"/>
  <c r="X48" i="19"/>
  <c r="R38" i="19"/>
  <c r="R8" i="19"/>
  <c r="AJ38" i="19"/>
  <c r="Q28" i="19"/>
  <c r="AC28" i="19"/>
  <c r="AI48" i="19"/>
  <c r="Q8" i="19"/>
  <c r="W48" i="19"/>
  <c r="AI18" i="19"/>
  <c r="K28" i="19"/>
  <c r="W38" i="19"/>
  <c r="AI8" i="19"/>
  <c r="AC38" i="19"/>
  <c r="AC48" i="19"/>
  <c r="AI38" i="19"/>
  <c r="AC8" i="19"/>
  <c r="K38" i="19"/>
  <c r="AC18" i="19"/>
  <c r="Q18" i="19"/>
  <c r="Q38" i="19"/>
  <c r="AI28" i="19"/>
  <c r="K18" i="19"/>
  <c r="Q48" i="19"/>
  <c r="K8" i="19"/>
  <c r="W28" i="19"/>
  <c r="W8" i="19"/>
  <c r="K48" i="19"/>
  <c r="W18" i="19"/>
  <c r="AD27" i="19"/>
  <c r="L7" i="19"/>
  <c r="R7" i="19"/>
  <c r="AJ27" i="19"/>
  <c r="X17" i="19"/>
  <c r="R27" i="19"/>
  <c r="X37" i="19"/>
  <c r="X7" i="19"/>
  <c r="R37" i="19"/>
  <c r="AD37" i="19"/>
  <c r="L27" i="19"/>
  <c r="AJ17" i="19"/>
  <c r="AD7" i="19"/>
  <c r="AJ7" i="19"/>
  <c r="L47" i="19"/>
  <c r="AJ47" i="19"/>
  <c r="R17" i="19"/>
  <c r="R47" i="19"/>
  <c r="L17" i="19"/>
  <c r="AD17" i="19"/>
  <c r="AD47" i="19"/>
  <c r="X47" i="19"/>
  <c r="L37" i="19"/>
  <c r="X27" i="19"/>
  <c r="AJ37" i="19"/>
  <c r="AC17" i="19"/>
  <c r="W7" i="19"/>
  <c r="AI47" i="19"/>
  <c r="AC7" i="19"/>
  <c r="Q17" i="19"/>
  <c r="W17" i="19"/>
  <c r="Q7" i="19"/>
  <c r="K47" i="19"/>
  <c r="K37" i="19"/>
  <c r="W27" i="19"/>
  <c r="K17" i="19"/>
  <c r="AC47" i="19"/>
  <c r="AI37" i="19"/>
  <c r="AC37" i="19"/>
  <c r="AI27" i="19"/>
  <c r="W37" i="19"/>
  <c r="AC27" i="19"/>
  <c r="K27" i="19"/>
  <c r="W47" i="19"/>
  <c r="AI7" i="19"/>
  <c r="Q27" i="19"/>
  <c r="Q47" i="19"/>
  <c r="AI17" i="19"/>
  <c r="K7" i="19"/>
  <c r="Q37"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<sst xmlns="http://schemas.openxmlformats.org/spreadsheetml/2006/main" count="909" uniqueCount="410">
  <si>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</si>
  <si>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</si>
  <si>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</si>
  <si>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</si>
  <si>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</si>
  <si>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</si>
  <si>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</si>
  <si>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</si>
  <si>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</si>
  <si>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</si>
  <si>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</si>
  <si>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</si>
  <si>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</si>
  <si>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</si>
  <si>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</si>
  <si>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</si>
  <si>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</si>
  <si>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</si>
  <si>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</si>
  <si>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</si>
  <si>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</si>
  <si>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</si>
  <si>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</si>
  <si>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</si>
  <si>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</si>
  <si>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</si>
  <si>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</si>
  <si>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</si>
  <si>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</si>
  <si>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</si>
  <si>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</si>
  <si>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</si>
  <si>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</si>
  <si>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</si>
  <si>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</si>
  <si>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</si>
  <si>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</si>
  <si>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</si>
  <si>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</si>
  <si>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</si>
  <si>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</si>
  <si>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</si>
  <si>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</si>
  <si>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</si>
  <si>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</si>
  <si>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</si>
  <si>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</si>
  <si>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</si>
  <si>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</si>
  <si>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</si>
  <si>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</si>
  <si>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</si>
  <si>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</si>
  <si>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</si>
  <si>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</si>
  <si>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</si>
  <si>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</si>
  <si>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</si>
  <si>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</si>
  <si>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</si>
  <si>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</si>
  <si>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</si>
  <si>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</si>
  <si>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</si>
  <si>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</si>
  <si>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</si>
  <si>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</si>
  <si>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</si>
  <si>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</si>
  <si>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</si>
  <si>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</si>
  <si>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</si>
  <si>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</si>
  <si>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</si>
  <si>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</si>
  <si>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</si>
  <si>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</si>
  <si>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</si>
  <si>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</si>
  <si>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</si>
  <si>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</si>
  <si>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</si>
  <si>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</si>
  <si>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</si>
  <si>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</si>
  <si>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</si>
  <si>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</si>
  <si>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</si>
  <si>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</si>
  <si>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</si>
  <si>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</si>
  <si>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</si>
  <si>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</si>
  <si>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</si>
  <si>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</si>
  <si>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</si>
  <si>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</si>
  <si>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</si>
  <si>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</si>
  <si>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</si>
  <si>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</si>
  <si>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</si>
  <si>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</si>
  <si>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</si>
  <si>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</si>
  <si>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</si>
  <si>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</si>
  <si>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</si>
  <si>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</si>
  <si>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</si>
  <si>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</si>
  <si>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</si>
  <si>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</si>
  <si>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</si>
  <si>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</si>
  <si>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</si>
  <si>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</si>
  <si>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</si>
  <si>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</si>
  <si>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</si>
  <si>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</si>
  <si>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</si>
  <si>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</si>
  <si>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</si>
  <si>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</si>
  <si>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</si>
  <si>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</si>
  <si>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</si>
  <si>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</si>
  <si>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</si>
  <si>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</si>
  <si>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</si>
  <si>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</si>
  <si>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</si>
  <si>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</si>
  <si>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</si>
  <si>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</si>
  <si>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</si>
  <si>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</si>
  <si>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</si>
  <si>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</si>
  <si>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</si>
  <si>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</si>
  <si>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</si>
  <si>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</si>
  <si>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</si>
  <si>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</si>
  <si>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</si>
  <si>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</si>
  <si>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</si>
  <si>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</si>
  <si>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</si>
  <si>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</si>
  <si>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</si>
  <si>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</si>
  <si>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</si>
  <si>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</si>
  <si>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</si>
  <si>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</si>
  <si>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</si>
  <si>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</si>
  <si>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</si>
  <si>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</si>
  <si>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</si>
  <si>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</si>
  <si>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</si>
  <si>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</si>
  <si>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</si>
  <si>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</si>
  <si>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</si>
  <si>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</si>
  <si>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</si>
  <si>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</si>
  <si>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</si>
  <si>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</si>
  <si>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</si>
  <si>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</si>
  <si>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</si>
  <si>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</si>
  <si>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</si>
  <si>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</si>
  <si>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</si>
  <si>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</si>
  <si>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</si>
  <si>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</si>
  <si>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</si>
  <si>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</si>
  <si>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</si>
  <si>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</si>
  <si>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</si>
  <si>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</si>
  <si>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</si>
  <si>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</si>
  <si>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</si>
  <si>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</si>
  <si>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</si>
  <si>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</si>
  <si>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</si>
  <si>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</si>
  <si>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</si>
  <si>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</si>
  <si>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</si>
  <si>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</si>
  <si>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</si>
  <si>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</si>
  <si>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</si>
  <si>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</si>
  <si>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</si>
  <si>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</si>
  <si>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</si>
  <si>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</si>
  <si>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SEGUIMIENTO</t>
  </si>
  <si>
    <t>Permanente</t>
  </si>
  <si>
    <t>Evidencias</t>
  </si>
  <si>
    <t>MAPA DE RIESGOS
AREA METROPOLITANA DE BUCARAMANGA
VIGENCIA 2024</t>
  </si>
  <si>
    <t>Falta de personal disponible para realizar inspecciones en campo, sumada a la inexistencia de una plataforma tecnológica que permita  analizar datos operativos en tiempo real</t>
  </si>
  <si>
    <t>Ausencia de planificacion e inversion para la adquisicion de una plataforma tecnologica que permita realizar el  monitoreo y control  de la operación.</t>
  </si>
  <si>
    <t>Posibilidad de afectación económica y reputacional por inconsistencias en los operativos de vigilancia y control, derivadas de la falta de una plataforma tecnológica para el monitoreo en tiempo real de las rutas de transporte.</t>
  </si>
  <si>
    <t>El profesional universitario realiza los reportes de los operativos de control y supervisa las operaciones realizadas en campo por los contratistas,posterior a la inspeccion se realiza un informe detallado de los hallazgos evidenciados.
La subdirectora de transporte debe adelantar los procesos para realizar la adquisición del software que permita un monitoreo en tiempo real sobre las rutas de transporte.</t>
  </si>
  <si>
    <t>Subdirección de Transporte Metropolitano</t>
  </si>
  <si>
    <t>Almacenamiento inadecuado de los documentos, lo que dificulta su acceso, conservación y control. Pérdida o daño de documentos por malas condiciones de manejo o custodia, afectando la integridad del archivo.</t>
  </si>
  <si>
    <t>Falta de espacio físico adecuado para almacenar y organizar de manera segura los documentos del archivo de la Subdirección. Deficiencia en infraestructura y en mecanismos de control documental para el almacenamiento y respaldo de archivos.</t>
  </si>
  <si>
    <t>Posibilidad de afectación económica y reputacional en la Subdirección de Transporte debido a una gestión documental inadecuada en el archivo, generando pérdidas de información estratégica.</t>
  </si>
  <si>
    <t>El profesional realiza mejoras en las condiciones de almacenamiento (estanterías, ventilación, protección contra humedad, plagas o fuego).
La subdirectora de transporte gestiona una capacitación al personal para el manejo del archivo.</t>
  </si>
  <si>
    <t>Inexistencia de programas de capacitación e inducción alternos frente a cambios organizacionales, ausencias del personal o nuevas necesidades operativas.</t>
  </si>
  <si>
    <t>Ausencia de esquemas de seguimiento y evaluación de los procesos relacionados con la gestión de talento humano (desde la etapa recontractual hasta la poscontractual) y los bienes de consumo asociados.</t>
  </si>
  <si>
    <t>Posibilidad de afectación reputacional por ausencia de programas estructurados de capacitación y formación, lo que puede impactar negativamente la percepción de profesionalismo, el compromiso con el desarrollo del talento humano y el cumplimiento de estándares de calidad o normativos.</t>
  </si>
  <si>
    <t>La Subdirector@ de Transporte Metropolitano diseña un plan anual de formación, con cronograma, recursos asignados y responsables definidos.
El supervisor del contratista debe realizar  inducción y/o reinducción para el personal a cargo, especificandole la tarea a realizar con las actividades de su contrato.
El profesional universitario establece mecanismos de seguimiento, evaluación a las actividades realizadas por los contratistas.</t>
  </si>
  <si>
    <t>Cambios en las directrices administrativas que generan reprocesos en la gestion de tramites de la subdireccion, adicionalmente la presion de los usuarios a terceros para acelerar tramites mediante incentivos indebidos.</t>
  </si>
  <si>
    <t>Falta de procedimientos actualizados  a la gestion de tramites referentes a la expedicion de tarjetas de operación,habilitacion,certificado de capacidad transportadora,desvinculacion,cambios de empresa u otros tramites.</t>
  </si>
  <si>
    <t>Posibilidad de recibir o solicitar cualquier dádiva o beneficio a nombre propio o de terceros con el fin de agilizar los tramites dentro de la subdireccion de transporte.</t>
  </si>
  <si>
    <t xml:space="preserve">El subdirector@ de transporte realiza rotacion del personal en cargos sensibles evitando que se generen relaciones de dependencia con usuarios.
*El subdirector@ de transporte realiza revisones periodicas sobre los avances de los tramites generados dentro de la plataforma BPM. </t>
  </si>
  <si>
    <t>Falta de un plan de contigencia tecnologico  que  contemple actualizacion periodica de equipos mantenimiento preventivo,copias de respaldo entre otros.</t>
  </si>
  <si>
    <t>Posiblidad de afectación reputacional por pérdida masiva de información derivada de la obsolescencia, fallas o insuficiencia de los equipos y sistemas tecnológicos utilizados para el almacenamiento, procesamiento y respaldo de datos.</t>
  </si>
  <si>
    <t>*el subdirector@ de transporte garantiza la creacion del plan de contingencia tecnologica.
*El profesional univeristario se encarga de la creacion del plan de contingencia tecnologico.</t>
  </si>
  <si>
    <t>Insuficiencia de los estudios del sector</t>
  </si>
  <si>
    <t>Insuficiente sistema de gestión jurídica articulado y preventivo, que garantice el seguimiento oportuno de procesos,  información y la coordinación efectiva entre las dependencias involucradas.</t>
  </si>
  <si>
    <t>Posibilidad de daño reputacional y economico por incumplimiento de requisitos legales en la vinculación y/o desvinculación del Talento Humano, por falta de articulación y control de los procedimientos establecidos.</t>
  </si>
  <si>
    <t xml:space="preserve">Posibilidad de daño reputacional por incumplimiento en la auditoria interna al SISTEMA DE GESTIÓN DE SEGURIDAD Y SALUD EN EL TRABAJO de acuerdo a lo establecido en el Decreto 1072 de 2015, por falta de planificación y seguimiento al cronograma de auditoría SST. </t>
  </si>
  <si>
    <t xml:space="preserve">falta de articulación y control de los procedimientos establecidos. 2. Omisión de verificación de los requisitos técnicos y jurídicos </t>
  </si>
  <si>
    <t xml:space="preserve">Ausencia de personal interno con conocimiento en el Sistema para que realice la auditoria  </t>
  </si>
  <si>
    <t>Secretaria General</t>
  </si>
  <si>
    <t>"Posibilidad de afectaciones económicas, reputacionales y pérdida de credibilidad institucional por acceso no autorizado o manipulación indebida de la información catastral, como resultado de fallas en los sistemas de seguridad, ausencia de controles de acceso, malas prácticas en el manejo de la información y actos de corrupción por parte de funcionarios, contratistas o terceros, con el fin de favorecer y dar celeridad a  intereses personales o particulares."</t>
  </si>
  <si>
    <t>"Posibilidad de afectaciones económicas, sanciones legales, aumento de quejas y reclamos, y deterioro de la imagen institucional, debido al ingreso de información errónea, incompleta o desactualizada en la base de datos catastral y a los retrasos en la respuesta a trámites, como consecuencia de la alta rotación del personal técnico y operativo y la inestabilidad laboral ocasionada por la falta de recursos económicos para el sostenimiento del servicio catastral;  generando una atención deficiente a los usuarios, desinformación ciudadana, pérdida de confianza, duplicidad de trámites y conflictos legales y/o de intereses.</t>
  </si>
  <si>
    <t>Posibilidad de afectaciones económicas y en la seguridad del personal, usuarios y bienes de la oficina de Catastro por robos, agresiones físicas o disturbios, debido a la atención de usuarios.</t>
  </si>
  <si>
    <t xml:space="preserve">Omision en el cumplimiento de la normativa catastral vigente
Interpretacion subjetiva de la legislacion catastral
Falta de articulacion con los municipios de AMB
No priorizacion de tramites u servicios que generan ingresos 
Ausencia de un modelo financiero estable y autonomo
Desconocimiento del valor estrategico del catastro
No inclusion de catastro dentro del oganigrama ni estructura institucional 
Ausencia de politicas publicas que ayuden y garanticen el sostenimiento de catastro
Dependencia de esquemas temporales de financiacion externa
</t>
  </si>
  <si>
    <t xml:space="preserve">Inexistencia de un departamento técnologico 
Carencia de infraestructura tecnologica y de licencias.
Accesos no autorizados
Pérdida de acceso al control y manejo del sistema catastral     
Acuerdos de niveles mal definidos
Falencia en el seguimiento y supervision contractuales                           </t>
  </si>
  <si>
    <t>Ausencia o debilidad en los mecanismos de control 
Accesos no restringidos o no auditados a los sistemas de información.
Carencia de etica profesional y sentido de pertenencia institucional 
Incentivos económicos o políticos para alterar información predial o agilizar procesos
Manejo de Influencias en decisiones técnicas por actores con intereses particulares.
Falta de control de acceso a la plataforma.
Contraseñas débiles o compartidas entre funcionarios.
Equipos sin bloqueo automático o sesiones abiertas.
Ausencia de políticas de seguridad de la información.
Vulnerabilidades en el sistema o software catastral.</t>
  </si>
  <si>
    <t>Subdireccion de Planeacion e Infraestructura</t>
  </si>
  <si>
    <t>Posibilidad de un daño economico y reputacional por obsolecencia tecnologica.</t>
  </si>
  <si>
    <t>Posibilidad de un daño economico y reputacional por Perdida de información de servidores y equipos de computo</t>
  </si>
  <si>
    <t>Posibilidad de daño economico y reputacional en la asignación diferente de recursos de inversión y/o destinación especifica.</t>
  </si>
  <si>
    <t>Posibilidad de un daño economico y reputacional en el pago de pasivos exigibles-vigencias expiradas.</t>
  </si>
  <si>
    <t>Posibilidad de un daño economico y reputacional en las transferencias Indebidas o erróneas.</t>
  </si>
  <si>
    <t xml:space="preserve"> Posibilidad de un daño economico y reputacional frente al no reporte de los ingresos recaudados por las diferentes subdireciones</t>
  </si>
  <si>
    <t>Daño o detrimiento patrimonial por inadecuado manejo de recursos y bienes publicos en la Entidad.</t>
  </si>
  <si>
    <t>Falta de seguridad informatica dentro de la banca financiera.</t>
  </si>
  <si>
    <t>No se ejerce un control adecuado a la programación y ejecucion del presupuesto de inversion.</t>
  </si>
  <si>
    <t xml:space="preserve">No cancelación de  pasivos exigibles- vigencias expiradas  que fueron incorporadas en el presupuesto de la  vigencia actual .
</t>
  </si>
  <si>
    <t>Por parte de las oficinas gestoras, no se realizan los tramites respectivos para liquidar los procesos contractuales, que conllevan a contituir la vigencia expirada.</t>
  </si>
  <si>
    <t>Cambios normativos que afectan los ingresos por transferencias.</t>
  </si>
  <si>
    <t>Selección de cuenta o destinatario incorrecto mediante error humano.</t>
  </si>
  <si>
    <t>Incumplimiento de los procedimientos ya establecidos para el reporte de los ingresos del recaudo.</t>
  </si>
  <si>
    <t>Registro extemporaneo o inadecuado de las areas que intervienen en la generacion de la informacion contable y financiera de la Entidad.</t>
  </si>
  <si>
    <t>Posibilidad de un daño reputacional de la Información Financiera oportuna</t>
  </si>
  <si>
    <t>Falta de sistematización de recaudos  por conceptos diferentes a valorizacion</t>
  </si>
  <si>
    <t>Falta de implementación de un proceso  de registro de pagos de las obligaciones a favor de la AMB diferentes a valorización</t>
  </si>
  <si>
    <t xml:space="preserve">Falta de insumos para continuar con las etapas procesales. </t>
  </si>
  <si>
    <t>No contar la entidad con los insumos necesarios para continuar con las etapas procesales (parqueaderos, materiales y equipos)</t>
  </si>
  <si>
    <t>Posibilidad de un daño economico y reputacional del no cobro de la obligación y/o prescripción del proceso.</t>
  </si>
  <si>
    <t>Posibilidad de un daño economico y reputacional de la Pérdida documental y de expedientes</t>
  </si>
  <si>
    <t xml:space="preserve"> Falta de espacio, falta de archivadores y/o adaptacion de los mismos que brinden seguirdad.</t>
  </si>
  <si>
    <t xml:space="preserve">Falta de archivadores independientes idóneos para garantizar la conservación y custodia documental de cobro  coactivo </t>
  </si>
  <si>
    <t>Falta de sistematización de los procesos administrativos de cobro coactivo</t>
  </si>
  <si>
    <t xml:space="preserve">
Adquirir y/o continuar con la implementación y ajustes de la plataforma BPM para la sistematización de los procesos coactivos conforme a las necesidades de los mismos.</t>
  </si>
  <si>
    <t>Posibilidad de un daño economico y reputacional en la  dificultad para el seguimiento de las actuaciones procesales y trámite oportuno de los procesos.</t>
  </si>
  <si>
    <t xml:space="preserve"> Posibilidad de un daño economico y reputacional por el no pago oportuno de sentencias y conciliaciones</t>
  </si>
  <si>
    <t>Pago de sentencias y conciliaciones.</t>
  </si>
  <si>
    <t>Intereses moratorios por pago tardío de sentencias y conciliaciones</t>
  </si>
  <si>
    <t xml:space="preserve"> Posibilidad de daño economico y reputacional en la adquisicion de los seguros contra todo riesgo de los bienes de la entidad.</t>
  </si>
  <si>
    <t xml:space="preserve">Suscripción de contratos para la adquisicion de los seguros de la entidad </t>
  </si>
  <si>
    <t xml:space="preserve">No incluir en el contrato de seguros -amparo de bienes de la entidad- todos los bienes muebles e inmuebles de la entidad </t>
  </si>
  <si>
    <t xml:space="preserve">Pago de viáticos, honorarios o gastos de desplazamiento sin legalizar </t>
  </si>
  <si>
    <t xml:space="preserve">Falta de documetos que soporten la comision </t>
  </si>
  <si>
    <t>Posibilidad de un daño economico y reputacional en la legalizacion de los viaticos.</t>
  </si>
  <si>
    <t>MAPA DE RIESGOS EL AREA METROPOLITANA DE BUCARAMANGA - AMB</t>
  </si>
  <si>
    <t>Elaborar un mapa de riesgos para el área metropolitana de Bucaramanga que permita identificar, evaluar y priorizar los riesgos potenciales, especialmente aquellos relacionados con la corrupción y los riesgos reputacionales, con el propósito de optimizar la toma de decisiones para la planificación, prevención y gestión efectiva de estos riesgos, promoviendo la transparencia, la integridad institucional y la confianza pública.</t>
  </si>
  <si>
    <t>Alcance 1: Identificación y Evaluación de Riesgos de Corrupción y Reputacionales.
 Alcance 2: Desarrollo e Implementación del Mapa de Riesgos con Herramientasy de Gestión</t>
  </si>
  <si>
    <t>Posibilidad  de generar sobrecostos en los procesos contractuales debido a la falta de información y corroboración de precios por parte del cotizado lo que genera una falencia en la veracidad de los estudios previos.</t>
  </si>
  <si>
    <t>Ausencia de mecanismos efectivos para la verificación y actualización de precios en el mercado durante la elaboración de los estudios previos</t>
  </si>
  <si>
    <t>Daños y perdidas de los equipos que afectan la calidad del servicio sumado a la facta de tecnologia adecuada para optimizar la gestion y operación.</t>
  </si>
  <si>
    <t>Establecer una metodología institucional para la elaboración de estudios previos, que incluya la verificación de precios a través de múltiples fuentes confiables (cotizaciones, plataformas oficiales, precios históricos) y análisis de mercado actualizado.</t>
  </si>
  <si>
    <t>Omisión o aplicación incorrecta de los procedimientos legales y administrativos establecidos para la vinculación o desvinculación del Talento Humano, debido a fallas en la coordinación entre las áreas responsables</t>
  </si>
  <si>
    <t>Revisar y actualizar los procedimientos internos de vinculación y desvinculación laboral, asegurando su alineación con la normativa legal vigente, e incluirlos en un manual institucional de Talento Humano accesible para todos los responsables.
Capacitar al personal de Talento Humano, jurídico y directivo en normativa laboral y procedimientos institucionales, enfatizando la importancia del cumplimiento legal y la articulación entre áreas para prevenir sanciones y daños reputacionales.</t>
  </si>
  <si>
    <t>Actualizar e implementar un procedimiento estandarizado y transversal para la vinculación y desvinculación del Talento Humano, que incluya una lista de verificación legal obligatoria, validación por parte del área jurídica y coordinación interdependencial permanente</t>
  </si>
  <si>
    <t>Falta de asignación de responsabilidades claras y de un cronograma permanente para el cargue y actualización de las hojas de vida del personal inactivo en las plataformas institucionales</t>
  </si>
  <si>
    <t>Establecer un proceso permanente y calendarizado para la digitalización y cargue de hojas de vida del personal inactivo, con responsables definidos, controles periódicos de avance y seguimiento por parte del área de Talento Humano.</t>
  </si>
  <si>
    <t>Desarticulación en la programación y ejecución de la auditoría interna del SG-SST debido a la ausencia de un control efectivo sobre el cumplimiento del cronograma establecido</t>
  </si>
  <si>
    <t>Implementar un sistema de seguimiento y alertas para el cumplimiento del cronograma de auditoría interna del SG-SST, con responsables designados, fechas límite claras y revisiones periódicas por parte del Comité de Seguridad y Salud en el Trabajo.</t>
  </si>
  <si>
    <t>Posibilidad de afectaciones económicas, reputacionales y pérdida de la autoridad catastral por incumplimiento de funciones como gestor catastral, debido a una inadecuada interpretación normativa, procedimientos institucionales inadecuados e inestabilidad en las fuentes de financiación que afectan el funcionamiento y sostenibilidad del servicio catastral.</t>
  </si>
  <si>
    <t>Aplicación incorrecta de las funciones asignadas como gestor catastral debido a la falta de claridad en la interpretación de la normativa vigente y ausencia de lineamientos operativos estandarizados.</t>
  </si>
  <si>
    <t>Elaborar e implementar una guía operativa institucional para el cumplimiento de funciones como gestor catastral, con base en la normativa vigente, que incluya procesos estandarizados, capacitaciones periódicas al personal y mecanismos de revisión jurídica para asegurar la correcta interpretación y aplicación de la normatividad</t>
  </si>
  <si>
    <t>Posibilidad de pérdida de información, interrupción del servicio catastral, desactualización de datos y afectaciones económicas debido a fallas en el sistema de información catastral, causadas por deficiencias en la contratación de herramientas tecnológicas esenciales y demoras en el soporte técnico del software, hardware y base de datos.</t>
  </si>
  <si>
    <t>Retrasos y fallas en la operación del sistema de información catastral debido a la ausencia de contratos oportunos y adecuados para la adquisición, mantenimiento y soporte técnico de las herramientas tecnológicas.</t>
  </si>
  <si>
    <t>Establecer un plan anual de contratación y mantenimiento de infraestructura tecnológica, que garantice la disponibilidad oportuna de software, hardware y soporte técnico para el sistema de información catastral, con cronogramas definidos, responsables asignados y seguimiento desde el área de TI y la gestión catastral.</t>
  </si>
  <si>
    <t>La implementación deficiente y la ausencia de controles robustos en los sistemas de seguridad y de acceso, combinadas con la falta de protocolos de auditoría y manejo adecuado de la información catastral, facilitan que funcionarios, contratistas o terceros malintencionados accedan y manipulen indebidamente la información para favorecer intereses personales o particulares.</t>
  </si>
  <si>
    <t>Implementar un sistema integral de gestión de la seguridad de la información catastral, que incluya controles de acceso por niveles de usuario, trazabilidad de acciones (logs de auditoría), autenticación multifactor y monitoreo continuo, acompañado de protocolos estrictos de manejo ético de la información y sanciones ante su uso indebido</t>
  </si>
  <si>
    <t>Falta de continuidad y experiencia en el equipo técnico-operativo encargado del manejo de la información catastral, debido a la contratación temporal, alta rotación de personal y ausencia de procesos estructurados de inducción, capacitación y transferencia del conocimiento</t>
  </si>
  <si>
    <t>Diseñar e implementar un plan institucional de gestión del conocimiento y fortalecimiento del talento humano, que incluya procesos estandarizados de inducción, capacitación continua, manuales operativos y protocolos de relevo para asegurar la calidad y continuidad en el manejo de la información catastral, incluso ante la rotación de personal</t>
  </si>
  <si>
    <t>Ausencia de medidas preventivas y protocolos de seguridad física y operativa durante la atención al público, lo que incrementa la vulnerabilidad ante situaciones de robo, agresiones o alteraciones del orden por parte de los usuarios</t>
  </si>
  <si>
    <t>Implementar un protocolo integral de seguridad en la atención al público, controles de acceso,  monitoreo con cámaras, y procedimientos de actuación ante incidentes o comportamientos agresivos, en coordinación con el área de seguridad institucional.</t>
  </si>
  <si>
    <t>Falta de una estrategia de actualización tecnológica o de inversión en innovación, derivada de una cultura organizacional reactiva o de limitaciones presupuestarias.</t>
  </si>
  <si>
    <t>Implementar un plan de gestión del ciclo de vida tecnológico, que incluya inventario de activos</t>
  </si>
  <si>
    <t>Ausencia de una política robusta de respaldo y recuperación de datos que garantice la protección y disponibilidad de la información crítica ante fallos técnicos, errores humanos o ciberataques.</t>
  </si>
  <si>
    <t>Ausencia de mecanismos efectivos de supervisión y trazabilidad sobre el uso y destinación de los recursos asignados.</t>
  </si>
  <si>
    <t>Posibilidad de un daño economico y reputacional en la constitucion de la reserva presupuestal.</t>
  </si>
  <si>
    <t>Demorar en el registro oportuno de compromisos adquiridos al cierre del ejercicio fiscal.</t>
  </si>
  <si>
    <t xml:space="preserve"> Falta de articulación entre las áreas ejecutoras y la dependencia financiera, sumada a la ausencia de procedimientos claros y automatizados para la identificación y registro de obligaciones pendientes.</t>
  </si>
  <si>
    <t>Este sistema debe integrar los lineamientos legales y financieros establecidos para cada fuente de recursos, permitiendo registrar, monitorear y validar en tiempo real la asignación y ejecución del presupuesto.</t>
  </si>
  <si>
    <t>Establecer un calendario interno con fechas límite, responsabilidades definidas y un sistema digital que permita el registro y validación de compromisos pendientes por parte de las áreas ejecutoras.</t>
  </si>
  <si>
    <t>Establecer reportes periódicos para monitorear pasivos pendientes, así como un proceso de revisión y validación que garantice que los pagos se realicen dentro del plazo legal, evitando así daños económicos y reputacionales por pagos tardíos o incumplimientos.</t>
  </si>
  <si>
    <t>Realizar una conciliación periódica entre los registros contables y los movimientos bancarios para detectar y corregir cualquier transferencia indebida o errónea a tiempo, minimizando el riesgo de pérdidas económicas y daños reputacionales</t>
  </si>
  <si>
    <t>Establecer procedimientos claros de registro obligatorio y controles de conciliación mensual entre los ingresos reportados y los depósitos bancarios, garantizando transparencia, exactitud y oportunidad en la información financiera, lo que minimiza riesgos económicos y reputacionales</t>
  </si>
  <si>
    <t xml:space="preserve">Posibilidad de un daño economico y fiscal en el modulo de transferencias bancarias. </t>
  </si>
  <si>
    <t>Registrar un historial detallado de todas las transacciones, incluir alertas para transferencias fuera de los parámetros habituales, y permitir auditorías internas periódicas para detectar posibles irregularidades</t>
  </si>
  <si>
    <t xml:space="preserve">Adquisición y/o modificación de Archivadores y Mobiliarios insuficientes e inseguros.
</t>
  </si>
  <si>
    <t>Plataforma INTEGRASOFT Y BPM,  que  permite registrar la información de los expedientes administrativos de cobro coactivo pendientes por dichas actividades.</t>
  </si>
  <si>
    <t xml:space="preserve">Seguimiento a todo el pasivo contingente de forma oportuna por parte de la secretaria general </t>
  </si>
  <si>
    <t xml:space="preserve">Almacen dede reportar a supervisor del contrato de seguros cada vez que se ingresen nuevo elementos </t>
  </si>
  <si>
    <t>Informe de elementos ingresados  y novedades al supervisor del contrato de seguros la entidad  (bienes muebles e inmuebles de la entidad )</t>
  </si>
  <si>
    <t>Seguimiento a la legalizacion de los viaticos por parte de contabilidad</t>
  </si>
  <si>
    <t>Mensual</t>
  </si>
  <si>
    <t>Gestionar alternativas para garantizar el suministro ded los insumos y elementos de trabajo necesarios para el debido trámite de los procesos.</t>
  </si>
  <si>
    <t>El riesgo afecta la imagen reputacional de la entidad</t>
  </si>
  <si>
    <t>El riesgo genera afectaciones reputacionales que impactan la confianza de partes interesadas internas o externas, pudiendo escalar a la exposición en medios</t>
  </si>
  <si>
    <t>mayor</t>
  </si>
  <si>
    <t>Se identificó que las acciones o controles actuales no son suficientes para mitigar adecuadamente el riesgo de pérdida reputacional ante incidentes que afecten la imagen institucional</t>
  </si>
  <si>
    <t>La limitada capacitación del personal en manejo de situaciones críticas podrían agravar el impacto negativo en la percepción pública de la organización</t>
  </si>
  <si>
    <t>existen debilidades en la planificación y control presupuestal que podrían derivar en una afectación económica significativa para la entidad</t>
  </si>
  <si>
    <t>falta de seguimiento oportuno a las desviaciones presupuestales y la ausencia de mecanismos de alerta temprana aumentan el riesgo de sobreejecución o subejecución de recursos</t>
  </si>
  <si>
    <t xml:space="preserve">Revisión y actualización del procedimiento interno de vigilancia y control.                 </t>
  </si>
  <si>
    <t>Trimestral</t>
  </si>
  <si>
    <t xml:space="preserve">
Subdirección de Transporte Metropolitano</t>
  </si>
  <si>
    <t>Capacitación al personal operativo y de supervisión</t>
  </si>
  <si>
    <t>Identificar y definir requerimientos técnicos para una futura plataforma tecnológica.</t>
  </si>
  <si>
    <t>Elaborar la ficha técnica del proyecto, con objetivos, alcance, cronograma tentativo y costos estimados, según sondeo de mercados</t>
  </si>
  <si>
    <t>Diagnóstico de las condiciones actuales del archivo</t>
  </si>
  <si>
    <t>Adecuar las condiciones físicas del archivo</t>
  </si>
  <si>
    <t>Capacitación al personal en normas archivísticas</t>
  </si>
  <si>
    <t>Semestral</t>
  </si>
  <si>
    <t>31/06/2026</t>
  </si>
  <si>
    <t>Estandarizar el proceso de inducción y reinducción institucional</t>
  </si>
  <si>
    <t>Diseñar e implementar un plan anual de formación institucional</t>
  </si>
  <si>
    <t>31/06/206</t>
  </si>
  <si>
    <t>Implementar controles de trazabilidad sobre los trámites registrados en la plataforma BPM</t>
  </si>
  <si>
    <t>Socializar con todo el personal el Código de Integridad y los lineamientos anticorrupción institucionales</t>
  </si>
  <si>
    <t>Generar y divulgar lineamientos técnicos estandarizados para usuarios externos (empresas y cooperativas)</t>
  </si>
  <si>
    <t>Elaborar y adoptar un plan de contingencia tecnológica institucional para la Subdirección de Transporte</t>
  </si>
  <si>
    <t>Crear y socializar protocolos de actuación ante fallos críticos o pérdida de datos</t>
  </si>
  <si>
    <t>Capacitar al personal sobre el plan de contingencia, copias de seguridad y prevención de pérdida de datos</t>
  </si>
  <si>
    <t>29/02/2026</t>
  </si>
  <si>
    <t>Implementar un sistema de gestión y seguimiento jurídico, que permita centralizar los procesos, establecer alertas de vencimientos y garantizar el control documental oportuno.
Diseñar e institucionalizar un protocolo para la recolección y entrega de información clave,  por parte de las Subdirecciones, con responsables definidos y tiempos máximos de respuesta para cada dependencia involucrada en la defensa jurídica.
Vincular al personal idoneo y capacitado para la representación de la entidad en procesos jurídicos y personal de apoyo para la gestión documental. 
Capacitar al personal jurídico y de apoyo en gestión de procesos judiciales y estrategia institucional de defensa, con énfasis en procedimientos, plazos y articulación interdependencial.</t>
  </si>
  <si>
    <t>Diseñar e implementar un plan de digitalización progresiva de las hojas de vida del personal inactivo, que contemple un cronograma detallado, responsables definidos, priorización por antigüedad y nivel de criticidad, así como mecanismos de validación del cargue de la información en la plataforma CETIL.</t>
  </si>
  <si>
    <t>Diseñar y ejecutar el plan de auditoría interna al SG-SST con la participación activa y coautoría del Comité Paritario de Seguridad y Salud en el Trabajo (COPASST), estableciendo un cronograma detallado que asegure el cumplimiento de la normativa y mecanismos de seguimiento y verificación trimestral, asegurando su alineación con lo establecido en el Decreto 1072 de 2015</t>
  </si>
  <si>
    <t>Posibilidad de daño reputacional y economica por errores e inconsistencias en la información registrada en el proceso de Nómina, debido a fallas en la verificación y actualización de datos, lo que puede derivar en pagos indebidos, reclamaciones laborales, impactos presupuestales y observaciones por parte de entes de control.</t>
  </si>
  <si>
    <t>Implementación de controles internos periódicos sobre el proceso de Nómina, que incluyen la revisión previa y posterior de los movimientos salariales, la verificación documental de los soportes que respaldan novedades, y la validación cruzada con el área financiera (SAF) y talento humano. Estos controles buscan asegurar la integridad, exactitud y legalidad de la información registrada, reduciendo el riesgo de errores.</t>
  </si>
  <si>
    <t>Diseñar e implementar un procedimiento de verificación de la información de Nómina, que incluya la revisión de soportes, validación cruzada con otras áreas (como SAF), asignación de responsables y cronograma de seguimiento, para garantizar la confiabilidad de los pagos y minimizar riesgos legales o financieros.</t>
  </si>
  <si>
    <t>Perdida reputacional por la perdida de autoridad catastral.</t>
  </si>
  <si>
    <t>Implementar jornadas de sensibilizacion periodicas para el equipo humano de apoyo de catastro enfocado en la normativa catastral vigente, funciones del gestor catastral y actualizaciones legales relevantes.</t>
  </si>
  <si>
    <t>Actualizar cuando se requiera los procedimientos internos asociados a la gestión catastral, integrando actualizaciones normativas, que garanticen la correcta ejecución y sostenibilidad del servicio.</t>
  </si>
  <si>
    <t xml:space="preserve">Diseñar y establecer controles en la plataforma de correspondecia institucional BPM que permita garantizar la efectividad de la seguridad de la informacion a traves de buenas practicas informaticas.
</t>
  </si>
  <si>
    <t>Realizar seguimientos periodicos a la gestion de incidentes tecnológicos que permita registrar, priorizar y garantizar la disponibilidad de la información catastral en la plataforma tecnologica para la continuidad operativa.</t>
  </si>
  <si>
    <t>Implementar acciones y controles de acceso basados en roles individuales dentro del sistema de correspondencia, que limiten las funciones de visualización, edición o eliminación de datos según el perfil del usuario.</t>
  </si>
  <si>
    <t>Generar y divulgar piezas publicitarias a traves del portal web oficial y las redes sociales de la entidad que sensibilicen a la ciudadania sobre la gratuidad de los tramites catastrales</t>
  </si>
  <si>
    <t>Realizar sensibilizaciones periodicas dirigidas a funcionarios, contratistas y terceros con acceso al sistema catastral que incluyan temáticas de ética informatica, seguridad de la informacion, ciberseguridad y confidencialidad de la informacion.</t>
  </si>
  <si>
    <t>Falta de capacitación del personal en atención al cliente y gestion catastral.
Procesos mal definidos o poco estandarizados para la atención al usuario.
Sobrecarga de trabajo o falta de personal suficiente.
Rotacion de contratistas para atencion al público
Canales de atención deficientes o no funcionales (plataformas, líneas telefónicas, puntos físicos).
Ausencia de mecanismos eficaces para seguimiento y respuesta a peticiones, quejas y reclamos (PQR).
Personal ajeno a la institucion prestando servicios catastrales
Ausencia de mecanismos de validación y control de calidad.
Capacitación insuficiente del personal operativo.
Saturación de trabajo o presión en los tiempos de carga.                                
Incumplimiento estandares de calidad
Estabilidad en las fuentes de financiacion para funcionamiento catastral
Condiciones contractuales inestables.
Sobrecarga de trabajo o ambiente laboral poco favorable.
Falta de reconocimiento o motivación al personal.
Escasa capacitación o apoyo en funciones especializadas.</t>
  </si>
  <si>
    <t>Realizar jornadas de induccion y reinduccion periodicas dirigidas a los funcionarios y contratistas vinculados al área de catastro.</t>
  </si>
  <si>
    <t>Gestionar a traves de un acto administrativo para la unificacion de los honorarios, criterios técnicos, académicos y de experiencia para la contratacion de prestacion de servicios de apoyo a la gestion y profesionales que permita garantizar la idoneidad en los procesos contractuales del área de catastro.</t>
  </si>
  <si>
    <t>Realizar un avance en la gestion del conocimiento relacionada con procesos, procedimientos y manuales operativos relacionados con la gestion catastral, y que estén disponibles en el portal web con acceso restringido para la consulta de funcionarios y contratistas cuando se requiera que sirva como guía ante cambios de personal y reduzca la curva de aprendizaje.</t>
  </si>
  <si>
    <t>insuficientes medidas de seguridad física (cámaras, personal de vigilancia, accesos controlados).
Agresividad de usuarios por inconformidad con trámites catastrales.
Falta de protocolos de actuación ante situaciones de riesgo o emergencia.
Ausencia de coordinación con cuerpos de seguridad pública.</t>
  </si>
  <si>
    <t>Gestionar con la ARL la capacitacion periódicas al personal brigadista y de  atencion al usuario sobre el manejo de usuarios conflictivos, primeros auxilios y actuación frente a emergencias o incidentes de seguridad.</t>
  </si>
  <si>
    <t>Diseñar un protocolo de atención segura al usuario, que contemple rutas de evacuación, manejo de situaciones conflictivas, y procedimientos frente a agresiones o alteraciones por parte de usuarios.</t>
  </si>
  <si>
    <t>Baja invesión de la entidad para mitigar los riesgos que se generan por cambios tecnológicos</t>
  </si>
  <si>
    <t>Realizar Informe anual  de renovación de activos de información de hardware y software, que permita identificar estado de obsolecencia</t>
  </si>
  <si>
    <t>Falta de mecanismos de seguridad perimetral y respaldo de información.</t>
  </si>
  <si>
    <t>Este control consiste en plantear soluciónes que permitan minimizar el riesgo ante daños fisicos y logicos ocasionando la perdida de inforamción de los activos con mayor criticidad.</t>
  </si>
  <si>
    <t>Presentar un informe a la dirección del AMB de una  solución tecnológica que permita salvaguardar la información de los activos con mayor criticidad.
Presentar un informe a la Dirección del AMBde una  solución tecnológica de seguriad perimetral que permita minimizar el riesgo de daño de los activos informáticos</t>
  </si>
  <si>
    <t>1.Realizar el segumiento trimestra lpor medio del formato de calidad GAF-FO-142  que se encuentra diseñado para el seguimiento de ejecución presupuestal de los  proyectos de inversión con las oficinas gestoras</t>
  </si>
  <si>
    <t>1.Enviar circulares  a las oficinas gestoras  donde se informe la fecha límite  para la constitución de reservas presupuestales de forma excepcional en el formato estipulado para tal fin</t>
  </si>
  <si>
    <t>1.Enviar circulares y/o correso a las oficinas gestoras recordano el cumplimiento para pago o depuración de las vigencias expiradas que no se encuentran en controversia judicial , en cumplimiento al cronograma establecido para tal fin.</t>
  </si>
  <si>
    <t>1 Realizar revisión  y verificación del egreso con la certificación bancaria</t>
  </si>
  <si>
    <t xml:space="preserve">1 Realizar el registro de ingreso  en tiempo real de los movimientos  en el módulo contable del sistema financiero </t>
  </si>
  <si>
    <t>2. Instalar y actualizar sistema de protección (antivirus).   2. Cambiar periódicamente las contraseñas para el ingreso a la banca financiero</t>
  </si>
  <si>
    <t>Generación de relación mensual de consignaciones que presente el deudor</t>
  </si>
  <si>
    <t>1. Reporte menusal de recaudo por concepto de procesos administrativos de cobro coactivo diferenes a valorización en etapas persuasiva y coactiva</t>
  </si>
  <si>
    <t>Gestión interinstitucional para la consecución y adecuación de espacios para parqueaderos temporales de los poisbles secuestros</t>
  </si>
  <si>
    <t>Dotación y adecuación de archivadores de cobro coactivo para la administración documental acrchivo de gestión</t>
  </si>
  <si>
    <t>Revisión y actualización con la  asistencia de INTEGRASOFT de los procesos sistematizados de cobro coactivo</t>
  </si>
  <si>
    <t>Oficio a Secretaria General solicitando  información oportuna de los casos judiciales que constityuan pasivos  contigentes en contra de la entidad</t>
  </si>
  <si>
    <t>Enviar Comunicación al funcionario responsable de la comision, solicitando la legacion de estos.</t>
  </si>
  <si>
    <t>SUBDIRECCION  ADMINISTRATIVA Y FINANCIERA</t>
  </si>
  <si>
    <t>31/10/2025
28/02/2026
31/07/2026</t>
  </si>
  <si>
    <t>Implementar un procedimiento estandarizado para la validación de precios de mercado, que incluya consultas a fuentes oficiales, análisis comparativos y revisión por parte de un comité técnico antes de la aprobación de los estudios previos. Ajuste en el Manual de Contratación, incluyendo el deber de utilizar la Guía para la Elaboración de Estudios de Sector, emitida por la ANCP-CCE</t>
  </si>
  <si>
    <t>Débil estructura organizacional y operativa en el área jurídica, caracterizada por la falta de personal especializado, ausencia de protocolos y procedimientos claros de respuesta y deficiencias en la gestión documental de procesos judiciales.</t>
  </si>
  <si>
    <t>Posibilidad de daño reputacional y economico por una  inadecuada estrategia de defensa jurídica institucional, como resultado de deficiencias en el seguimiento legal, tardanza en entrega de información clave para contestación de requerimientos judiciales y por limitaciones en el recurso humano especializado y ausencia de la gestión documental y archivistica de los procesos judiciales</t>
  </si>
  <si>
    <t xml:space="preserve">Fortalecer la estructura del equipo jurídico mediante la vinculación de personal con idoneidad y/o experiencia en Defensa Judicial, establecer protocolos internos para la recolección y entrega oportuna de información clave, e implementar un sistema de gestión documental y seguimiento de procesos judiciales. </t>
  </si>
  <si>
    <t xml:space="preserve">Ausencia de cargue de información y desactualización de las plataforma CETIL, </t>
  </si>
  <si>
    <t xml:space="preserve">Posibilidad de daño reputacional por incumplimiento en la digitalización de las hojas de vida de personal inactivo lo cual dificulta mantener actualizadas plataforma CETIL, por ausencia de un proceso continuo para el cargue de los documentos. </t>
  </si>
  <si>
    <t>Diferencias e inconsitencias en la información registrada en el proceso de Nómina</t>
  </si>
  <si>
    <t>Ausencia de un Mecanismo de doble Verificación de la Información de pagos de Nómina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</si>
</sst>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m/yyyy"/>
  </numFmts>
  <fonts count="6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20"/>
      <color theme="1"/>
      <name val="Arial Narrow"/>
      <family val="2"/>
    </font>
    <font>
      <b/>
      <sz val="22"/>
      <color theme="0"/>
      <name val="Arial Narrow"/>
      <family val="2"/>
    </font>
    <font>
      <b/>
      <sz val="18"/>
      <color theme="0"/>
      <name val="Arial Narrow"/>
      <family val="2"/>
    </font>
    <font>
      <b/>
      <sz val="14"/>
      <color theme="0"/>
      <name val="Arial Narrow"/>
      <family val="2"/>
    </font>
    <font>
      <b/>
      <sz val="11"/>
      <color theme="0"/>
      <name val="Arial Narrow"/>
      <family val="2"/>
    </font>
    <font>
      <sz val="11"/>
      <color theme="0"/>
      <name val="Arial Narrow"/>
      <family val="2"/>
    </font>
    <font>
      <b/>
      <sz val="9"/>
      <color theme="0"/>
      <name val="Arial Narrow"/>
      <family val="2"/>
    </font>
    <font>
      <sz val="8"/>
      <name val="Calibri"/>
      <family val="2"/>
      <scheme val="minor"/>
    </font>
    <font>
      <sz val="11"/>
      <color theme="1"/>
      <name val="Arial Narrow"/>
    </font>
    <font>
      <b/>
      <sz val="11"/>
      <color theme="1"/>
      <name val="Arial Narrow"/>
    </font>
    <font>
      <sz val="10"/>
      <color theme="1"/>
      <name val="Arial Narrow"/>
    </font>
    <font>
      <sz val="14"/>
      <color theme="1"/>
      <name val="Arial Narrow"/>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theme="0"/>
      </patternFill>
    </fill>
    <fill>
      <patternFill patternType="solid">
        <fgColor rgb="FFEE08DE"/>
        <bgColor indexed="64"/>
      </patternFill>
    </fill>
  </fills>
  <borders count="79">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E36C09"/>
      </left>
      <right style="dotted">
        <color rgb="FFE36C09"/>
      </right>
      <top style="dotted">
        <color rgb="FFE36C09"/>
      </top>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bottom/>
      <diagonal/>
    </border>
    <border>
      <left style="dotted">
        <color rgb="FFE36C09"/>
      </left>
      <right style="dotted">
        <color rgb="FFE36C09"/>
      </right>
      <top/>
      <bottom style="dotted">
        <color rgb="FFE36C09"/>
      </bottom>
      <diagonal/>
    </border>
  </borders>
  <cellStyleXfs count="5">
    <xf numFmtId="0" fontId="0" fillId="0" borderId="0"/>
    <xf numFmtId="9" fontId="15" fillId="0" borderId="0" applyFont="0" applyFill="0" applyBorder="0" applyAlignment="0" applyProtection="0"/>
    <xf numFmtId="0" fontId="47" fillId="0" borderId="0"/>
    <xf numFmtId="0" fontId="48" fillId="0" borderId="0"/>
    <xf numFmtId="0" fontId="5" fillId="0" borderId="0"/>
  </cellStyleXfs>
  <cellXfs count="508">
    <xf numFmtId="0" fontId="0" fillId="0" borderId="0" xfId="0"/>
    <xf numFmtId="0" fontId="1" fillId="0" borderId="0" xfId="0" applyFont="1"/>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3"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3"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49" fillId="3" borderId="51" xfId="2" applyFont="1" applyFill="1" applyBorder="1"/>
    <xf numFmtId="0" fontId="49" fillId="3" borderId="52" xfId="2" applyFont="1" applyFill="1" applyBorder="1"/>
    <xf numFmtId="0" fontId="49" fillId="3" borderId="53" xfId="2" applyFont="1" applyFill="1" applyBorder="1"/>
    <xf numFmtId="0" fontId="17" fillId="3" borderId="0" xfId="0" applyFont="1" applyFill="1" applyAlignment="1">
      <alignment vertical="center"/>
    </xf>
    <xf numFmtId="0" fontId="5" fillId="3" borderId="0" xfId="0" applyFont="1" applyFill="1"/>
    <xf numFmtId="0" fontId="36" fillId="3" borderId="0" xfId="0" applyFont="1" applyFill="1"/>
    <xf numFmtId="0" fontId="37" fillId="3" borderId="34" xfId="0" applyFont="1" applyFill="1" applyBorder="1" applyAlignment="1">
      <alignment horizontal="center" vertical="center" wrapText="1" readingOrder="1"/>
    </xf>
    <xf numFmtId="0" fontId="38" fillId="3" borderId="34" xfId="0" applyFont="1" applyFill="1" applyBorder="1" applyAlignment="1">
      <alignment horizontal="justify" vertical="center" wrapText="1" readingOrder="1"/>
    </xf>
    <xf numFmtId="9" fontId="37" fillId="3" borderId="43" xfId="0" applyNumberFormat="1"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8" fillId="3" borderId="33" xfId="0" applyFont="1" applyFill="1" applyBorder="1" applyAlignment="1">
      <alignment horizontal="justify" vertical="center" wrapText="1" readingOrder="1"/>
    </xf>
    <xf numFmtId="9" fontId="37" fillId="3" borderId="38" xfId="0" applyNumberFormat="1"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8" fillId="3" borderId="40" xfId="0" applyFont="1" applyFill="1" applyBorder="1" applyAlignment="1">
      <alignment horizontal="justify" vertical="center" wrapText="1" readingOrder="1"/>
    </xf>
    <xf numFmtId="0" fontId="38" fillId="3" borderId="41" xfId="0" applyFont="1" applyFill="1" applyBorder="1" applyAlignment="1">
      <alignment horizontal="center" vertical="center" wrapText="1" readingOrder="1"/>
    </xf>
    <xf numFmtId="0" fontId="46" fillId="3" borderId="0" xfId="0" applyFont="1" applyFill="1"/>
    <xf numFmtId="0" fontId="37" fillId="14" borderId="45" xfId="0" applyFont="1" applyFill="1" applyBorder="1" applyAlignment="1">
      <alignment horizontal="center" vertical="center" wrapText="1" readingOrder="1"/>
    </xf>
    <xf numFmtId="0" fontId="37" fillId="14" borderId="46" xfId="0" applyFont="1" applyFill="1" applyBorder="1" applyAlignment="1">
      <alignment horizontal="center" vertical="center" wrapText="1" readingOrder="1"/>
    </xf>
    <xf numFmtId="0" fontId="14" fillId="3" borderId="0" xfId="0" applyFont="1" applyFill="1"/>
    <xf numFmtId="0" fontId="31"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49"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9" fillId="3" borderId="0" xfId="2" applyFont="1" applyFill="1"/>
    <xf numFmtId="0" fontId="49" fillId="3" borderId="15" xfId="2" applyFont="1" applyFill="1" applyBorder="1"/>
    <xf numFmtId="0" fontId="49" fillId="3" borderId="16" xfId="2" applyFont="1" applyFill="1" applyBorder="1"/>
    <xf numFmtId="0" fontId="49" fillId="3" borderId="18" xfId="2" applyFont="1" applyFill="1" applyBorder="1"/>
    <xf numFmtId="0" fontId="49" fillId="3" borderId="17" xfId="2" applyFont="1" applyFill="1" applyBorder="1"/>
    <xf numFmtId="0" fontId="52"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0" fontId="1" fillId="0" borderId="2" xfId="0" applyFont="1" applyBorder="1" applyAlignment="1" applyProtection="1">
      <alignment horizontal="center" vertical="center"/>
      <protection hidden="1"/>
    </xf>
    <xf numFmtId="0" fontId="61" fillId="7" borderId="2" xfId="0" applyFont="1" applyFill="1" applyBorder="1" applyAlignment="1">
      <alignment horizontal="center" vertical="center" textRotation="9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62" fillId="3" borderId="0" xfId="0" applyFont="1" applyFill="1"/>
    <xf numFmtId="0" fontId="62" fillId="0" borderId="0" xfId="0" applyFont="1"/>
    <xf numFmtId="14" fontId="1" fillId="0" borderId="2" xfId="0" applyNumberFormat="1" applyFont="1" applyBorder="1" applyAlignment="1" applyProtection="1">
      <alignment horizontal="center" vertical="center" wrapText="1"/>
      <protection locked="0"/>
    </xf>
    <xf numFmtId="0" fontId="2" fillId="0" borderId="2" xfId="0" applyFont="1" applyBorder="1" applyAlignment="1" applyProtection="1">
      <alignment horizontal="center" vertical="top" wrapText="1"/>
      <protection locked="0"/>
    </xf>
    <xf numFmtId="14" fontId="2" fillId="0" borderId="2" xfId="0" applyNumberFormat="1" applyFont="1" applyBorder="1" applyAlignment="1" applyProtection="1">
      <alignment horizontal="center" vertical="center" wrapText="1"/>
      <protection locked="0"/>
    </xf>
    <xf numFmtId="0" fontId="1" fillId="0" borderId="0" xfId="0" applyFont="1" applyAlignment="1">
      <alignment horizontal="center" vertical="center" wrapText="1"/>
    </xf>
    <xf numFmtId="0" fontId="49"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hidden="1"/>
    </xf>
    <xf numFmtId="0" fontId="2" fillId="0" borderId="2" xfId="0" applyFont="1" applyBorder="1" applyAlignment="1" applyProtection="1">
      <alignment horizontal="center" vertical="center" textRotation="90"/>
      <protection locked="0"/>
    </xf>
    <xf numFmtId="9" fontId="2" fillId="0" borderId="2" xfId="0" applyNumberFormat="1" applyFont="1" applyBorder="1" applyAlignment="1" applyProtection="1">
      <alignment horizontal="center" vertical="center"/>
      <protection hidden="1"/>
    </xf>
    <xf numFmtId="0" fontId="51" fillId="0" borderId="2" xfId="0" applyFont="1" applyBorder="1" applyAlignment="1" applyProtection="1">
      <alignment horizontal="center" vertical="center" textRotation="90" wrapText="1"/>
      <protection hidden="1"/>
    </xf>
    <xf numFmtId="9" fontId="2" fillId="0" borderId="4" xfId="0" applyNumberFormat="1" applyFont="1" applyBorder="1" applyAlignment="1" applyProtection="1">
      <alignment horizontal="center" vertical="center"/>
      <protection hidden="1"/>
    </xf>
    <xf numFmtId="0" fontId="51" fillId="0" borderId="2" xfId="0" applyFont="1" applyBorder="1" applyAlignment="1" applyProtection="1">
      <alignment horizontal="center" vertical="center" textRotation="90"/>
      <protection hidden="1"/>
    </xf>
    <xf numFmtId="0" fontId="2" fillId="0" borderId="4" xfId="0" applyFont="1" applyBorder="1" applyAlignment="1" applyProtection="1">
      <alignment horizontal="center" vertical="center" textRotation="90"/>
      <protection locked="0"/>
    </xf>
    <xf numFmtId="0" fontId="2" fillId="0" borderId="2" xfId="0" applyFont="1" applyBorder="1" applyAlignment="1" applyProtection="1">
      <alignment horizontal="center" vertical="center" wrapText="1"/>
      <protection locked="0"/>
    </xf>
    <xf numFmtId="0" fontId="0" fillId="0" borderId="0" xfId="0" applyAlignment="1">
      <alignment horizontal="center" vertical="center" wrapText="1"/>
    </xf>
    <xf numFmtId="0" fontId="1" fillId="0" borderId="4"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4" fillId="0" borderId="4"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0" fontId="1" fillId="0" borderId="8"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9" fontId="2" fillId="0" borderId="4" xfId="0" applyNumberFormat="1" applyFont="1" applyBorder="1" applyAlignment="1" applyProtection="1">
      <alignment vertical="center" wrapText="1"/>
      <protection hidden="1"/>
    </xf>
    <xf numFmtId="9" fontId="2" fillId="0" borderId="8" xfId="0" applyNumberFormat="1" applyFont="1" applyBorder="1" applyAlignment="1" applyProtection="1">
      <alignment vertical="center" wrapText="1"/>
      <protection hidden="1"/>
    </xf>
    <xf numFmtId="0" fontId="2" fillId="0" borderId="4" xfId="0" applyFont="1" applyBorder="1" applyAlignment="1" applyProtection="1">
      <alignment vertical="center" wrapText="1"/>
      <protection locked="0"/>
    </xf>
    <xf numFmtId="9" fontId="2" fillId="0" borderId="4" xfId="0" applyNumberFormat="1" applyFont="1" applyBorder="1" applyAlignment="1" applyProtection="1">
      <alignment vertical="center" wrapText="1"/>
      <protection locked="0"/>
    </xf>
    <xf numFmtId="9" fontId="2" fillId="0" borderId="8" xfId="0" applyNumberFormat="1"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0" fontId="2" fillId="3" borderId="4" xfId="0" applyFont="1" applyFill="1" applyBorder="1" applyAlignment="1" applyProtection="1">
      <alignment horizontal="center" vertical="center" wrapText="1"/>
      <protection locked="0"/>
    </xf>
    <xf numFmtId="0" fontId="1" fillId="0" borderId="2" xfId="0" applyFont="1" applyBorder="1" applyAlignment="1" applyProtection="1">
      <alignment horizontal="left" vertical="top" wrapText="1"/>
      <protection locked="0"/>
    </xf>
    <xf numFmtId="0" fontId="1" fillId="0" borderId="2" xfId="0" applyFont="1" applyBorder="1" applyAlignment="1" applyProtection="1">
      <alignment horizontal="left" vertical="center" wrapText="1"/>
      <protection locked="0"/>
    </xf>
    <xf numFmtId="0" fontId="51" fillId="0" borderId="4" xfId="0" applyFont="1" applyBorder="1" applyAlignment="1" applyProtection="1">
      <alignment vertical="top" wrapText="1"/>
      <protection hidden="1"/>
    </xf>
    <xf numFmtId="0" fontId="51" fillId="0" borderId="8" xfId="0" applyFont="1" applyBorder="1" applyAlignment="1" applyProtection="1">
      <alignment vertical="top" wrapText="1"/>
      <protection hidden="1"/>
    </xf>
    <xf numFmtId="9" fontId="2" fillId="0" borderId="4" xfId="0" applyNumberFormat="1" applyFont="1" applyBorder="1" applyAlignment="1" applyProtection="1">
      <alignment vertical="top" wrapText="1"/>
      <protection hidden="1"/>
    </xf>
    <xf numFmtId="0" fontId="51" fillId="0" borderId="4" xfId="0" applyFont="1" applyBorder="1" applyAlignment="1" applyProtection="1">
      <alignment vertical="top"/>
      <protection hidden="1"/>
    </xf>
    <xf numFmtId="0" fontId="4" fillId="0" borderId="4" xfId="0" applyFont="1" applyBorder="1" applyAlignment="1" applyProtection="1">
      <alignment vertical="center" wrapText="1"/>
      <protection hidden="1"/>
    </xf>
    <xf numFmtId="9" fontId="1" fillId="0" borderId="4" xfId="0" applyNumberFormat="1" applyFont="1" applyBorder="1" applyAlignment="1" applyProtection="1">
      <alignment vertical="center" wrapText="1"/>
      <protection hidden="1"/>
    </xf>
    <xf numFmtId="0" fontId="4" fillId="0" borderId="4" xfId="0" applyFont="1" applyBorder="1" applyAlignment="1" applyProtection="1">
      <alignment vertical="center"/>
      <protection hidden="1"/>
    </xf>
    <xf numFmtId="0" fontId="61" fillId="7" borderId="6" xfId="0" applyFont="1" applyFill="1" applyBorder="1" applyAlignment="1">
      <alignment horizontal="center" vertical="center"/>
    </xf>
    <xf numFmtId="0" fontId="61" fillId="7" borderId="10" xfId="0" applyFont="1" applyFill="1" applyBorder="1" applyAlignment="1">
      <alignment horizontal="center" vertical="center"/>
    </xf>
    <xf numFmtId="0" fontId="61" fillId="7" borderId="7" xfId="0" applyFont="1" applyFill="1" applyBorder="1" applyAlignment="1">
      <alignment horizontal="center" vertical="center"/>
    </xf>
    <xf numFmtId="0" fontId="2" fillId="0" borderId="4" xfId="0" applyFont="1" applyBorder="1" applyAlignment="1" applyProtection="1">
      <alignment horizontal="center" vertical="center" wrapText="1"/>
      <protection locked="0"/>
    </xf>
    <xf numFmtId="0" fontId="61"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0" borderId="6" xfId="0" applyFont="1" applyBorder="1" applyAlignment="1" applyProtection="1">
      <alignment horizontal="center" vertical="center" wrapText="1"/>
      <protection locked="0"/>
    </xf>
    <xf numFmtId="14" fontId="1" fillId="0" borderId="5" xfId="0" applyNumberFormat="1"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 fillId="0" borderId="4" xfId="0" applyFont="1" applyBorder="1" applyAlignment="1" applyProtection="1">
      <alignment vertical="center" wrapText="1"/>
      <protection hidden="1"/>
    </xf>
    <xf numFmtId="0" fontId="1" fillId="0" borderId="8" xfId="0" applyFont="1" applyBorder="1" applyAlignment="1" applyProtection="1">
      <alignment vertical="center" wrapText="1"/>
      <protection hidden="1"/>
    </xf>
    <xf numFmtId="0" fontId="1" fillId="0" borderId="5" xfId="0" applyFont="1" applyBorder="1" applyAlignment="1" applyProtection="1">
      <alignment vertical="center" wrapText="1"/>
      <protection hidden="1"/>
    </xf>
    <xf numFmtId="0" fontId="65" fillId="0" borderId="75" xfId="0" applyFont="1" applyBorder="1" applyAlignment="1">
      <alignment horizontal="center" vertical="center"/>
    </xf>
    <xf numFmtId="0" fontId="65" fillId="0" borderId="75" xfId="0" applyFont="1" applyBorder="1" applyAlignment="1">
      <alignment vertical="top" wrapText="1"/>
    </xf>
    <xf numFmtId="0" fontId="65" fillId="0" borderId="75" xfId="0" applyFont="1" applyBorder="1" applyAlignment="1">
      <alignment horizontal="left" vertical="center" wrapText="1"/>
    </xf>
    <xf numFmtId="0" fontId="65" fillId="0" borderId="75" xfId="0" applyFont="1" applyBorder="1" applyAlignment="1">
      <alignment horizontal="left" vertical="top" wrapText="1"/>
    </xf>
    <xf numFmtId="0" fontId="65" fillId="15" borderId="75" xfId="0" applyFont="1" applyFill="1" applyBorder="1" applyAlignment="1">
      <alignment horizontal="center" vertical="center" wrapText="1"/>
    </xf>
    <xf numFmtId="9" fontId="65" fillId="0" borderId="75" xfId="0" applyNumberFormat="1" applyFont="1" applyBorder="1" applyAlignment="1">
      <alignment vertical="top" wrapText="1"/>
    </xf>
    <xf numFmtId="0" fontId="67" fillId="0" borderId="76" xfId="0" applyFont="1" applyBorder="1" applyAlignment="1">
      <alignment horizontal="left" vertical="top" wrapText="1"/>
    </xf>
    <xf numFmtId="0" fontId="65" fillId="16" borderId="76" xfId="0" applyFont="1" applyFill="1" applyBorder="1" applyAlignment="1">
      <alignment horizontal="center" vertical="center" wrapText="1"/>
    </xf>
    <xf numFmtId="0" fontId="65" fillId="0" borderId="76" xfId="0" applyFont="1" applyBorder="1" applyAlignment="1">
      <alignment horizontal="center" vertical="center" wrapText="1"/>
    </xf>
    <xf numFmtId="165" fontId="65" fillId="0" borderId="76" xfId="0" applyNumberFormat="1" applyFont="1" applyBorder="1" applyAlignment="1">
      <alignment horizontal="center" vertical="center"/>
    </xf>
    <xf numFmtId="0" fontId="65" fillId="0" borderId="77" xfId="0" applyFont="1" applyBorder="1" applyAlignment="1">
      <alignment vertical="top" wrapText="1"/>
    </xf>
    <xf numFmtId="0" fontId="65" fillId="0" borderId="77" xfId="0" applyFont="1" applyBorder="1" applyAlignment="1">
      <alignment vertical="center" wrapText="1"/>
    </xf>
    <xf numFmtId="9" fontId="65" fillId="0" borderId="77" xfId="0" applyNumberFormat="1" applyFont="1" applyBorder="1" applyAlignment="1">
      <alignment vertical="top" wrapText="1"/>
    </xf>
    <xf numFmtId="0" fontId="65" fillId="16" borderId="76" xfId="0" applyFont="1" applyFill="1" applyBorder="1" applyAlignment="1">
      <alignment horizontal="center" vertical="top" wrapText="1"/>
    </xf>
    <xf numFmtId="0" fontId="65" fillId="0" borderId="75" xfId="0" applyFont="1" applyBorder="1" applyAlignment="1">
      <alignment vertical="center" wrapText="1"/>
    </xf>
    <xf numFmtId="0" fontId="65" fillId="0" borderId="78" xfId="0" applyFont="1" applyBorder="1" applyAlignment="1">
      <alignment vertical="top" wrapText="1"/>
    </xf>
    <xf numFmtId="9" fontId="65" fillId="0" borderId="78" xfId="0" applyNumberFormat="1" applyFont="1" applyBorder="1" applyAlignment="1">
      <alignment vertical="top" wrapText="1"/>
    </xf>
    <xf numFmtId="0" fontId="65" fillId="0" borderId="75" xfId="0" applyFont="1" applyBorder="1" applyAlignment="1">
      <alignment vertical="top"/>
    </xf>
    <xf numFmtId="0" fontId="65" fillId="0" borderId="78" xfId="0" applyFont="1" applyBorder="1" applyAlignment="1">
      <alignment vertical="center" wrapText="1"/>
    </xf>
    <xf numFmtId="0" fontId="65" fillId="0" borderId="75" xfId="0" applyFont="1" applyBorder="1" applyAlignment="1">
      <alignment horizontal="center" vertical="center" wrapText="1"/>
    </xf>
    <xf numFmtId="0" fontId="66" fillId="0" borderId="75" xfId="0" applyFont="1" applyBorder="1" applyAlignment="1">
      <alignment horizontal="center" vertical="center" wrapText="1"/>
    </xf>
    <xf numFmtId="9" fontId="65" fillId="0" borderId="75" xfId="0" applyNumberFormat="1" applyFont="1" applyBorder="1" applyAlignment="1">
      <alignment horizontal="center" vertical="center" wrapText="1"/>
    </xf>
    <xf numFmtId="0" fontId="67" fillId="0" borderId="76" xfId="0" applyFont="1" applyBorder="1" applyAlignment="1">
      <alignment horizontal="center" vertical="center" wrapText="1"/>
    </xf>
    <xf numFmtId="0" fontId="1" fillId="16" borderId="76" xfId="0" applyFont="1" applyFill="1" applyBorder="1" applyAlignment="1">
      <alignment horizontal="center" vertical="center" wrapText="1"/>
    </xf>
    <xf numFmtId="0" fontId="66" fillId="0" borderId="75" xfId="0" applyFont="1" applyBorder="1" applyAlignment="1">
      <alignment vertical="center" wrapText="1"/>
    </xf>
    <xf numFmtId="9" fontId="65" fillId="0" borderId="75" xfId="0" applyNumberFormat="1" applyFont="1" applyBorder="1" applyAlignment="1">
      <alignment vertical="center" wrapText="1"/>
    </xf>
    <xf numFmtId="0" fontId="67" fillId="0" borderId="75" xfId="0" applyFont="1" applyBorder="1" applyAlignment="1">
      <alignment vertical="center" wrapText="1"/>
    </xf>
    <xf numFmtId="0" fontId="67" fillId="0" borderId="75" xfId="0" applyFont="1" applyBorder="1" applyAlignment="1">
      <alignment horizontal="center" vertical="center" wrapText="1"/>
    </xf>
    <xf numFmtId="9" fontId="65" fillId="0" borderId="75" xfId="0" applyNumberFormat="1" applyFont="1" applyBorder="1" applyAlignment="1">
      <alignment horizontal="center" vertical="top" wrapText="1"/>
    </xf>
    <xf numFmtId="0" fontId="68" fillId="0" borderId="75" xfId="0" applyFont="1" applyBorder="1" applyAlignment="1">
      <alignment horizontal="center" vertical="center" wrapText="1"/>
    </xf>
    <xf numFmtId="0" fontId="68" fillId="16" borderId="76" xfId="0" applyFont="1" applyFill="1" applyBorder="1" applyAlignment="1">
      <alignment horizontal="center" vertical="center" wrapText="1"/>
    </xf>
    <xf numFmtId="0" fontId="68" fillId="0" borderId="76" xfId="0" applyFont="1" applyBorder="1" applyAlignment="1">
      <alignment horizontal="center" vertical="center" wrapText="1"/>
    </xf>
    <xf numFmtId="0" fontId="68" fillId="16" borderId="76" xfId="0" applyFont="1" applyFill="1" applyBorder="1" applyAlignment="1">
      <alignment horizontal="left" vertical="center" wrapText="1"/>
    </xf>
    <xf numFmtId="164" fontId="1" fillId="0" borderId="4" xfId="1" applyNumberFormat="1" applyFont="1" applyBorder="1" applyAlignment="1">
      <alignment vertical="center"/>
    </xf>
    <xf numFmtId="0" fontId="1" fillId="3" borderId="0" xfId="0" applyFont="1" applyFill="1" applyAlignment="1">
      <alignment vertical="center"/>
    </xf>
    <xf numFmtId="0" fontId="1" fillId="0" borderId="0" xfId="0" applyFont="1" applyAlignment="1">
      <alignment vertical="center"/>
    </xf>
    <xf numFmtId="0" fontId="2" fillId="0" borderId="4" xfId="0" applyFont="1" applyBorder="1" applyAlignment="1" applyProtection="1">
      <alignment horizontal="center" vertical="center"/>
      <protection locked="0"/>
    </xf>
    <xf numFmtId="0" fontId="60" fillId="7" borderId="48" xfId="2" applyFont="1" applyFill="1" applyBorder="1" applyAlignment="1">
      <alignment horizontal="center" vertical="center" wrapText="1"/>
    </xf>
    <xf numFmtId="0" fontId="60" fillId="7" borderId="49" xfId="2" applyFont="1" applyFill="1" applyBorder="1" applyAlignment="1">
      <alignment horizontal="center" vertical="center" wrapText="1"/>
    </xf>
    <xf numFmtId="0" fontId="60" fillId="7" borderId="50"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8" xfId="2" quotePrefix="1" applyFont="1" applyBorder="1" applyAlignment="1">
      <alignment horizontal="left" vertical="center" wrapText="1"/>
    </xf>
    <xf numFmtId="0" fontId="49" fillId="0" borderId="69" xfId="2" quotePrefix="1" applyFont="1" applyBorder="1" applyAlignment="1">
      <alignment horizontal="left" vertical="center" wrapText="1"/>
    </xf>
    <xf numFmtId="0" fontId="49" fillId="0" borderId="70" xfId="2" quotePrefix="1" applyFont="1" applyBorder="1" applyAlignment="1">
      <alignment horizontal="left" vertical="center" wrapText="1"/>
    </xf>
    <xf numFmtId="0" fontId="50" fillId="3" borderId="51" xfId="2" quotePrefix="1" applyFont="1" applyFill="1" applyBorder="1" applyAlignment="1">
      <alignment horizontal="left" vertical="top" wrapText="1"/>
    </xf>
    <xf numFmtId="0" fontId="51" fillId="3" borderId="52" xfId="2" quotePrefix="1" applyFont="1" applyFill="1" applyBorder="1" applyAlignment="1">
      <alignment horizontal="left" vertical="top" wrapText="1"/>
    </xf>
    <xf numFmtId="0" fontId="51" fillId="3" borderId="53" xfId="2" quotePrefix="1" applyFont="1" applyFill="1" applyBorder="1" applyAlignment="1">
      <alignment horizontal="left" vertical="top" wrapText="1"/>
    </xf>
    <xf numFmtId="0" fontId="49" fillId="0" borderId="14"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5" xfId="2" quotePrefix="1" applyFont="1" applyBorder="1" applyAlignment="1">
      <alignment horizontal="left" vertical="top" wrapText="1"/>
    </xf>
    <xf numFmtId="0" fontId="63" fillId="7" borderId="54" xfId="3" applyFont="1" applyFill="1" applyBorder="1" applyAlignment="1">
      <alignment horizontal="center" vertical="center" wrapText="1"/>
    </xf>
    <xf numFmtId="0" fontId="63" fillId="7" borderId="55" xfId="3" applyFont="1" applyFill="1" applyBorder="1" applyAlignment="1">
      <alignment horizontal="center" vertical="center" wrapText="1"/>
    </xf>
    <xf numFmtId="0" fontId="63" fillId="7" borderId="56" xfId="2" applyFont="1" applyFill="1" applyBorder="1" applyAlignment="1">
      <alignment horizontal="center" vertical="center"/>
    </xf>
    <xf numFmtId="0" fontId="63" fillId="7"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3" fillId="3" borderId="58" xfId="3" applyFont="1" applyFill="1" applyBorder="1" applyAlignment="1">
      <alignment horizontal="left" vertical="top" wrapText="1" readingOrder="1"/>
    </xf>
    <xf numFmtId="0" fontId="53" fillId="3" borderId="59" xfId="3" applyFont="1" applyFill="1" applyBorder="1" applyAlignment="1">
      <alignment horizontal="left" vertical="top" wrapText="1" readingOrder="1"/>
    </xf>
    <xf numFmtId="0" fontId="54" fillId="3" borderId="60" xfId="2" applyFont="1" applyFill="1" applyBorder="1" applyAlignment="1">
      <alignment horizontal="justify" vertical="center" wrapText="1"/>
    </xf>
    <xf numFmtId="0" fontId="54" fillId="3" borderId="61" xfId="2" applyFont="1" applyFill="1" applyBorder="1" applyAlignment="1">
      <alignment horizontal="justify" vertical="center" wrapText="1"/>
    </xf>
    <xf numFmtId="0" fontId="53" fillId="3" borderId="62" xfId="0" applyFont="1" applyFill="1" applyBorder="1" applyAlignment="1">
      <alignment horizontal="left" vertical="center" wrapText="1"/>
    </xf>
    <xf numFmtId="0" fontId="53" fillId="3" borderId="63" xfId="0" applyFont="1" applyFill="1" applyBorder="1" applyAlignment="1">
      <alignment horizontal="left" vertical="center" wrapText="1"/>
    </xf>
    <xf numFmtId="0" fontId="54" fillId="3" borderId="64" xfId="2" applyFont="1" applyFill="1" applyBorder="1" applyAlignment="1">
      <alignment horizontal="justify" vertical="center" wrapText="1"/>
    </xf>
    <xf numFmtId="0" fontId="54" fillId="3" borderId="65" xfId="2" applyFont="1" applyFill="1" applyBorder="1" applyAlignment="1">
      <alignment horizontal="justify" vertical="center" wrapText="1"/>
    </xf>
    <xf numFmtId="0" fontId="49" fillId="3" borderId="14"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5" xfId="2" applyFont="1" applyFill="1" applyBorder="1" applyAlignment="1">
      <alignment horizontal="left" vertical="top" wrapText="1"/>
    </xf>
    <xf numFmtId="0" fontId="53" fillId="3" borderId="71" xfId="0" applyFont="1" applyFill="1" applyBorder="1" applyAlignment="1">
      <alignment horizontal="left" vertical="center" wrapText="1"/>
    </xf>
    <xf numFmtId="0" fontId="53" fillId="3" borderId="72" xfId="0" applyFont="1" applyFill="1" applyBorder="1" applyAlignment="1">
      <alignment horizontal="left" vertical="center" wrapText="1"/>
    </xf>
    <xf numFmtId="0" fontId="53" fillId="3" borderId="73" xfId="0" applyFont="1" applyFill="1" applyBorder="1" applyAlignment="1">
      <alignment horizontal="left" vertical="center" wrapText="1"/>
    </xf>
    <xf numFmtId="0" fontId="53" fillId="3" borderId="74" xfId="0" applyFont="1" applyFill="1" applyBorder="1" applyAlignment="1">
      <alignment horizontal="left" vertical="center" wrapText="1"/>
    </xf>
    <xf numFmtId="0" fontId="54" fillId="3" borderId="66" xfId="0" applyFont="1" applyFill="1" applyBorder="1" applyAlignment="1">
      <alignment horizontal="justify" vertical="center" wrapText="1"/>
    </xf>
    <xf numFmtId="0" fontId="54" fillId="3" borderId="67" xfId="0" applyFont="1" applyFill="1" applyBorder="1" applyAlignment="1">
      <alignment horizontal="justify" vertical="center" wrapText="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164" fontId="1" fillId="0" borderId="4" xfId="1" applyNumberFormat="1" applyFont="1" applyBorder="1" applyAlignment="1">
      <alignment horizontal="center" vertical="center"/>
    </xf>
    <xf numFmtId="164" fontId="1" fillId="0" borderId="8" xfId="1" applyNumberFormat="1" applyFont="1" applyBorder="1" applyAlignment="1">
      <alignment horizontal="center" vertical="center"/>
    </xf>
    <xf numFmtId="164" fontId="1" fillId="0" borderId="5" xfId="1" applyNumberFormat="1"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top" textRotation="90"/>
      <protection locked="0"/>
    </xf>
    <xf numFmtId="0" fontId="1" fillId="0" borderId="8" xfId="0" applyFont="1" applyBorder="1" applyAlignment="1" applyProtection="1">
      <alignment horizontal="center" vertical="top" textRotation="90"/>
      <protection locked="0"/>
    </xf>
    <xf numFmtId="0" fontId="1" fillId="0" borderId="5" xfId="0" applyFont="1" applyBorder="1" applyAlignment="1" applyProtection="1">
      <alignment horizontal="center" vertical="top" textRotation="90"/>
      <protection locked="0"/>
    </xf>
    <xf numFmtId="0" fontId="61" fillId="7" borderId="5" xfId="0" applyFont="1" applyFill="1" applyBorder="1" applyAlignment="1">
      <alignment horizontal="center" vertical="center"/>
    </xf>
    <xf numFmtId="0" fontId="61" fillId="7" borderId="2" xfId="0" applyFont="1" applyFill="1" applyBorder="1" applyAlignment="1">
      <alignment horizontal="center" vertical="center"/>
    </xf>
    <xf numFmtId="0" fontId="61" fillId="7" borderId="5" xfId="0" applyFont="1" applyFill="1" applyBorder="1" applyAlignment="1">
      <alignment horizontal="center" vertical="center" wrapText="1"/>
    </xf>
    <xf numFmtId="0" fontId="61" fillId="7" borderId="2" xfId="0" applyFont="1" applyFill="1" applyBorder="1" applyAlignment="1">
      <alignment horizontal="center" vertical="center" wrapText="1"/>
    </xf>
    <xf numFmtId="0" fontId="61" fillId="7" borderId="4" xfId="0" applyFont="1" applyFill="1" applyBorder="1" applyAlignment="1">
      <alignment horizontal="center" vertical="center" textRotation="90" wrapText="1"/>
    </xf>
    <xf numFmtId="0" fontId="61" fillId="7" borderId="5" xfId="0" applyFont="1" applyFill="1" applyBorder="1" applyAlignment="1">
      <alignment horizontal="center" vertical="center" textRotation="90" wrapText="1"/>
    </xf>
    <xf numFmtId="0" fontId="61" fillId="7" borderId="4" xfId="0" applyFont="1" applyFill="1" applyBorder="1" applyAlignment="1">
      <alignment horizontal="center" vertical="center"/>
    </xf>
    <xf numFmtId="0" fontId="61" fillId="7" borderId="2" xfId="0" applyFont="1" applyFill="1" applyBorder="1" applyAlignment="1">
      <alignment horizontal="center" vertical="center" textRotation="90" wrapText="1"/>
    </xf>
    <xf numFmtId="0" fontId="61" fillId="7" borderId="4" xfId="0" applyFont="1" applyFill="1" applyBorder="1" applyAlignment="1">
      <alignment horizontal="center" vertical="center"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61" fillId="7" borderId="8" xfId="0" applyFont="1" applyFill="1" applyBorder="1" applyAlignment="1">
      <alignment horizontal="center" vertical="center" wrapText="1"/>
    </xf>
    <xf numFmtId="0" fontId="61" fillId="7" borderId="9" xfId="0" applyFont="1" applyFill="1" applyBorder="1" applyAlignment="1">
      <alignment horizontal="center" vertical="center"/>
    </xf>
    <xf numFmtId="0" fontId="61" fillId="7" borderId="3" xfId="0" applyFont="1" applyFill="1" applyBorder="1" applyAlignment="1">
      <alignment horizontal="center" vertical="center"/>
    </xf>
    <xf numFmtId="0" fontId="61" fillId="7" borderId="9" xfId="0" applyFont="1" applyFill="1" applyBorder="1" applyAlignment="1">
      <alignment horizontal="center" vertical="center" wrapText="1"/>
    </xf>
    <xf numFmtId="0" fontId="60" fillId="7" borderId="4" xfId="0" applyFont="1" applyFill="1" applyBorder="1" applyAlignment="1">
      <alignment horizontal="center" vertical="center" textRotation="90"/>
    </xf>
    <xf numFmtId="0" fontId="60" fillId="7" borderId="5" xfId="0" applyFont="1" applyFill="1" applyBorder="1" applyAlignment="1">
      <alignment horizontal="center" vertical="center" textRotation="90"/>
    </xf>
    <xf numFmtId="0" fontId="58" fillId="7" borderId="28" xfId="0" applyFont="1" applyFill="1" applyBorder="1" applyAlignment="1">
      <alignment horizontal="center" vertical="center" wrapText="1"/>
    </xf>
    <xf numFmtId="0" fontId="58" fillId="7" borderId="29" xfId="0" applyFont="1" applyFill="1" applyBorder="1" applyAlignment="1">
      <alignment horizontal="center" vertical="center" wrapText="1"/>
    </xf>
    <xf numFmtId="0" fontId="58" fillId="7" borderId="30" xfId="0" applyFont="1" applyFill="1" applyBorder="1" applyAlignment="1">
      <alignment horizontal="center" vertical="center" wrapText="1"/>
    </xf>
    <xf numFmtId="0" fontId="58" fillId="7" borderId="3" xfId="0" applyFont="1" applyFill="1" applyBorder="1" applyAlignment="1">
      <alignment horizontal="center" vertical="center" wrapText="1"/>
    </xf>
    <xf numFmtId="0" fontId="58" fillId="7" borderId="31" xfId="0" applyFont="1" applyFill="1" applyBorder="1" applyAlignment="1">
      <alignment horizontal="center" vertical="center" wrapText="1"/>
    </xf>
    <xf numFmtId="0" fontId="58" fillId="7" borderId="32" xfId="0" applyFont="1" applyFill="1" applyBorder="1" applyAlignment="1">
      <alignment horizontal="center" vertical="center" wrapText="1"/>
    </xf>
    <xf numFmtId="0" fontId="57" fillId="3" borderId="6" xfId="0" applyFont="1" applyFill="1" applyBorder="1" applyAlignment="1" applyProtection="1">
      <alignment horizontal="left" vertical="center"/>
      <protection locked="0"/>
    </xf>
    <xf numFmtId="0" fontId="57" fillId="3" borderId="10" xfId="0" applyFont="1" applyFill="1" applyBorder="1" applyAlignment="1" applyProtection="1">
      <alignment horizontal="left" vertical="center"/>
      <protection locked="0"/>
    </xf>
    <xf numFmtId="0" fontId="57" fillId="3" borderId="7"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1" fillId="7" borderId="6" xfId="0" applyFont="1" applyFill="1" applyBorder="1" applyAlignment="1">
      <alignment horizontal="center" vertical="center"/>
    </xf>
    <xf numFmtId="0" fontId="61" fillId="7" borderId="10" xfId="0" applyFont="1" applyFill="1" applyBorder="1" applyAlignment="1">
      <alignment horizontal="center" vertical="center"/>
    </xf>
    <xf numFmtId="0" fontId="61" fillId="7" borderId="7" xfId="0" applyFont="1" applyFill="1" applyBorder="1" applyAlignment="1">
      <alignment horizontal="center" vertical="center"/>
    </xf>
    <xf numFmtId="0" fontId="59" fillId="7" borderId="6" xfId="0" applyFont="1" applyFill="1" applyBorder="1" applyAlignment="1">
      <alignment horizontal="left" vertical="center"/>
    </xf>
    <xf numFmtId="0" fontId="59" fillId="7" borderId="7" xfId="0" applyFont="1" applyFill="1" applyBorder="1" applyAlignment="1">
      <alignment horizontal="left" vertical="center"/>
    </xf>
    <xf numFmtId="9" fontId="2" fillId="0" borderId="8" xfId="0" applyNumberFormat="1" applyFont="1" applyBorder="1" applyAlignment="1" applyProtection="1">
      <alignment horizontal="center" vertical="center" wrapText="1"/>
      <protection hidden="1"/>
    </xf>
    <xf numFmtId="9" fontId="2" fillId="0" borderId="8"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9" fillId="0" borderId="5" xfId="0" applyFont="1" applyBorder="1" applyAlignment="1" applyProtection="1">
      <alignment horizontal="center" vertical="center" wrapText="1"/>
      <protection locked="0"/>
    </xf>
    <xf numFmtId="14" fontId="1" fillId="0" borderId="4" xfId="0" applyNumberFormat="1" applyFont="1" applyBorder="1" applyAlignment="1" applyProtection="1">
      <alignment horizontal="center" vertical="center"/>
      <protection locked="0"/>
    </xf>
    <xf numFmtId="14" fontId="1" fillId="0" borderId="5" xfId="0" applyNumberFormat="1" applyFont="1" applyBorder="1" applyAlignment="1" applyProtection="1">
      <alignment horizontal="center" vertical="center"/>
      <protection locked="0"/>
    </xf>
    <xf numFmtId="0" fontId="49" fillId="0" borderId="8" xfId="0" applyFont="1" applyBorder="1" applyAlignment="1" applyProtection="1">
      <alignment horizontal="center" vertical="center" wrapText="1"/>
      <protection locked="0"/>
    </xf>
    <xf numFmtId="14" fontId="1" fillId="0" borderId="8" xfId="0" applyNumberFormat="1" applyFont="1" applyBorder="1" applyAlignment="1" applyProtection="1">
      <alignment horizontal="center" vertical="center"/>
      <protection locked="0"/>
    </xf>
    <xf numFmtId="9" fontId="2" fillId="0" borderId="5" xfId="0" applyNumberFormat="1" applyFont="1" applyBorder="1" applyAlignment="1" applyProtection="1">
      <alignment horizontal="center" vertical="center" wrapText="1"/>
      <protection hidden="1"/>
    </xf>
    <xf numFmtId="9" fontId="2" fillId="0" borderId="5" xfId="0" applyNumberFormat="1" applyFont="1" applyBorder="1" applyAlignment="1" applyProtection="1">
      <alignment horizontal="center" vertical="center" wrapText="1"/>
      <protection locked="0"/>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0" xfId="0" applyFont="1" applyAlignment="1">
      <alignment horizontal="center" vertical="center"/>
    </xf>
    <xf numFmtId="0" fontId="43" fillId="0" borderId="15"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3" fillId="0" borderId="17" xfId="0" applyFont="1" applyBorder="1" applyAlignment="1">
      <alignment horizontal="center" vertical="center"/>
    </xf>
    <xf numFmtId="0" fontId="43" fillId="0" borderId="19" xfId="0" applyFont="1" applyBorder="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4" xfId="0" applyFont="1" applyBorder="1" applyAlignment="1">
      <alignment horizontal="center" vertical="center" wrapText="1"/>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3" fillId="0" borderId="0" xfId="0" applyFont="1" applyAlignment="1">
      <alignment horizontal="center" vertical="center" wrapText="1"/>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5" fillId="0" borderId="0" xfId="0" applyFont="1" applyAlignment="1">
      <alignment horizontal="center" vertical="center"/>
    </xf>
    <xf numFmtId="0" fontId="40" fillId="14" borderId="35" xfId="0" applyFont="1" applyFill="1" applyBorder="1" applyAlignment="1">
      <alignment horizontal="center" vertical="center" wrapText="1" readingOrder="1"/>
    </xf>
    <xf numFmtId="0" fontId="40" fillId="14" borderId="36" xfId="0" applyFont="1" applyFill="1" applyBorder="1" applyAlignment="1">
      <alignment horizontal="center" vertical="center" wrapText="1" readingOrder="1"/>
    </xf>
    <xf numFmtId="0" fontId="40" fillId="14" borderId="47"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4" borderId="44" xfId="0" applyFont="1" applyFill="1" applyBorder="1" applyAlignment="1">
      <alignment horizontal="center" vertical="center" wrapText="1" readingOrder="1"/>
    </xf>
    <xf numFmtId="0" fontId="37" fillId="14" borderId="45" xfId="0" applyFont="1" applyFill="1" applyBorder="1" applyAlignment="1">
      <alignment horizontal="center" vertical="center" wrapText="1" readingOrder="1"/>
    </xf>
    <xf numFmtId="0" fontId="37" fillId="3" borderId="42"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7" fillId="3" borderId="39"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18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0000CC"/>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milo/OneDrive/Documentos/2025/AMB/PTEP%20AMB/Matrices%20y%20mapas%202025/informacion%20recibida/Mapa%20de%20riesgos%20transporte%20metropolit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ge/Downloads/10.-matriz_mapa_riesgos-AMB-2025%20JULIO%2021%20SAF%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milo/OneDrive/Documentos/2025/AMB/PTEP%20AMB/Matrices%20y%20mapas%202025/6.-matriz-mapa-de-riesgos-cobro-coactivo-y-persuasivo-202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amilo/OneDrive/Documentos/2025/AMB/PTEP%20AMB/Matrices%20y%20mapas%202025/9.-matriz-mapa-de-riesgos-fiscales-financiera-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Hoja 3"/>
      <sheetName val="Mapa final"/>
      <sheetName val="Matriz Calor Inherente"/>
      <sheetName val="Matriz Calor Residual"/>
      <sheetName val="Tabla probabilidad"/>
      <sheetName val="Tabla Impacto"/>
      <sheetName val="Hoja 2"/>
      <sheetName val="Tabla Valoración controles"/>
      <sheetName val="Hoja 1"/>
      <sheetName val="Opciones Tratamiento"/>
      <sheetName val="Hoja1"/>
    </sheetNames>
    <sheetDataSet>
      <sheetData sheetId="0"/>
      <sheetData sheetId="1"/>
      <sheetData sheetId="2"/>
      <sheetData sheetId="3"/>
      <sheetData sheetId="4"/>
      <sheetData sheetId="5"/>
      <sheetData sheetId="6">
        <row r="221">
          <cell r="B221" t="e">
            <v>#NAME?</v>
          </cell>
        </row>
        <row r="222">
          <cell r="B222" t="e">
            <v>#NAME?</v>
          </cell>
        </row>
        <row r="223">
          <cell r="B223" t="e">
            <v>#NAME?</v>
          </cell>
          <cell r="F223" t="str">
            <v>❌</v>
          </cell>
        </row>
      </sheetData>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sheetData>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zoomScale="110" zoomScaleNormal="110" workbookViewId="0">
      <selection activeCell="C12" sqref="C12:F12"/>
    </sheetView>
  </sheetViews>
  <sheetFormatPr baseColWidth="10" defaultColWidth="11.42578125" defaultRowHeight="15" x14ac:dyDescent="0.25"/>
  <cols>
    <col min="1" max="1" width="2.85546875" style="79" customWidth="1"/>
    <col min="2" max="3" width="24.5703125" style="79" customWidth="1"/>
    <col min="4" max="4" width="16" style="79" customWidth="1"/>
    <col min="5" max="5" width="24.5703125" style="79" customWidth="1"/>
    <col min="6" max="6" width="27.5703125" style="79" customWidth="1"/>
    <col min="7" max="8" width="24.5703125" style="79" customWidth="1"/>
    <col min="9" max="16384" width="11.42578125" style="79"/>
  </cols>
  <sheetData>
    <row r="1" spans="2:8" ht="15.75" thickBot="1" x14ac:dyDescent="0.3"/>
    <row r="2" spans="2:8" ht="18" x14ac:dyDescent="0.25">
      <c r="B2" s="226" t="s">
        <v>163</v>
      </c>
      <c r="C2" s="227"/>
      <c r="D2" s="227"/>
      <c r="E2" s="227"/>
      <c r="F2" s="227"/>
      <c r="G2" s="227"/>
      <c r="H2" s="228"/>
    </row>
    <row r="3" spans="2:8" x14ac:dyDescent="0.25">
      <c r="B3" s="80"/>
      <c r="C3" s="81"/>
      <c r="D3" s="81"/>
      <c r="E3" s="81"/>
      <c r="F3" s="81"/>
      <c r="G3" s="81"/>
      <c r="H3" s="82"/>
    </row>
    <row r="4" spans="2:8" ht="63" customHeight="1" x14ac:dyDescent="0.25">
      <c r="B4" s="229" t="s">
        <v>206</v>
      </c>
      <c r="C4" s="230"/>
      <c r="D4" s="230"/>
      <c r="E4" s="230"/>
      <c r="F4" s="230"/>
      <c r="G4" s="230"/>
      <c r="H4" s="231"/>
    </row>
    <row r="5" spans="2:8" ht="63" customHeight="1" x14ac:dyDescent="0.25">
      <c r="B5" s="232"/>
      <c r="C5" s="233"/>
      <c r="D5" s="233"/>
      <c r="E5" s="233"/>
      <c r="F5" s="233"/>
      <c r="G5" s="233"/>
      <c r="H5" s="234"/>
    </row>
    <row r="6" spans="2:8" ht="16.5" x14ac:dyDescent="0.25">
      <c r="B6" s="235" t="s">
        <v>161</v>
      </c>
      <c r="C6" s="236"/>
      <c r="D6" s="236"/>
      <c r="E6" s="236"/>
      <c r="F6" s="236"/>
      <c r="G6" s="236"/>
      <c r="H6" s="237"/>
    </row>
    <row r="7" spans="2:8" ht="95.25" customHeight="1" x14ac:dyDescent="0.25">
      <c r="B7" s="245" t="s">
        <v>166</v>
      </c>
      <c r="C7" s="246"/>
      <c r="D7" s="246"/>
      <c r="E7" s="246"/>
      <c r="F7" s="246"/>
      <c r="G7" s="246"/>
      <c r="H7" s="247"/>
    </row>
    <row r="8" spans="2:8" ht="16.5" x14ac:dyDescent="0.25">
      <c r="B8" s="116"/>
      <c r="C8" s="117"/>
      <c r="D8" s="117"/>
      <c r="E8" s="117"/>
      <c r="F8" s="117"/>
      <c r="G8" s="117"/>
      <c r="H8" s="118"/>
    </row>
    <row r="9" spans="2:8" ht="16.5" customHeight="1" x14ac:dyDescent="0.25">
      <c r="B9" s="238" t="s">
        <v>199</v>
      </c>
      <c r="C9" s="239"/>
      <c r="D9" s="239"/>
      <c r="E9" s="239"/>
      <c r="F9" s="239"/>
      <c r="G9" s="239"/>
      <c r="H9" s="240"/>
    </row>
    <row r="10" spans="2:8" ht="44.25" customHeight="1" x14ac:dyDescent="0.25">
      <c r="B10" s="238"/>
      <c r="C10" s="239"/>
      <c r="D10" s="239"/>
      <c r="E10" s="239"/>
      <c r="F10" s="239"/>
      <c r="G10" s="239"/>
      <c r="H10" s="240"/>
    </row>
    <row r="11" spans="2:8" ht="15.75" thickBot="1" x14ac:dyDescent="0.3">
      <c r="B11" s="105"/>
      <c r="C11" s="108"/>
      <c r="D11" s="113"/>
      <c r="E11" s="114"/>
      <c r="F11" s="114"/>
      <c r="G11" s="115"/>
      <c r="H11" s="109"/>
    </row>
    <row r="12" spans="2:8" ht="15.75" thickTop="1" x14ac:dyDescent="0.25">
      <c r="B12" s="105"/>
      <c r="C12" s="241" t="s">
        <v>162</v>
      </c>
      <c r="D12" s="242"/>
      <c r="E12" s="243" t="s">
        <v>200</v>
      </c>
      <c r="F12" s="244"/>
      <c r="G12" s="108"/>
      <c r="H12" s="109"/>
    </row>
    <row r="13" spans="2:8" ht="35.25" customHeight="1" x14ac:dyDescent="0.25">
      <c r="B13" s="105"/>
      <c r="C13" s="248" t="s">
        <v>193</v>
      </c>
      <c r="D13" s="249"/>
      <c r="E13" s="250" t="s">
        <v>198</v>
      </c>
      <c r="F13" s="251"/>
      <c r="G13" s="108"/>
      <c r="H13" s="109"/>
    </row>
    <row r="14" spans="2:8" ht="17.25" customHeight="1" x14ac:dyDescent="0.25">
      <c r="B14" s="105"/>
      <c r="C14" s="248" t="s">
        <v>194</v>
      </c>
      <c r="D14" s="249"/>
      <c r="E14" s="250" t="s">
        <v>196</v>
      </c>
      <c r="F14" s="251"/>
      <c r="G14" s="108"/>
      <c r="H14" s="109"/>
    </row>
    <row r="15" spans="2:8" ht="19.5" customHeight="1" x14ac:dyDescent="0.25">
      <c r="B15" s="105"/>
      <c r="C15" s="248" t="s">
        <v>195</v>
      </c>
      <c r="D15" s="249"/>
      <c r="E15" s="250" t="s">
        <v>197</v>
      </c>
      <c r="F15" s="251"/>
      <c r="G15" s="108"/>
      <c r="H15" s="109"/>
    </row>
    <row r="16" spans="2:8" ht="69.75" customHeight="1" x14ac:dyDescent="0.25">
      <c r="B16" s="105"/>
      <c r="C16" s="248" t="s">
        <v>164</v>
      </c>
      <c r="D16" s="249"/>
      <c r="E16" s="250" t="s">
        <v>165</v>
      </c>
      <c r="F16" s="251"/>
      <c r="G16" s="108"/>
      <c r="H16" s="109"/>
    </row>
    <row r="17" spans="2:8" ht="34.5" customHeight="1" x14ac:dyDescent="0.25">
      <c r="B17" s="105"/>
      <c r="C17" s="252" t="s">
        <v>2</v>
      </c>
      <c r="D17" s="253"/>
      <c r="E17" s="254" t="s">
        <v>207</v>
      </c>
      <c r="F17" s="255"/>
      <c r="G17" s="108"/>
      <c r="H17" s="109"/>
    </row>
    <row r="18" spans="2:8" ht="27.75" customHeight="1" x14ac:dyDescent="0.25">
      <c r="B18" s="105"/>
      <c r="C18" s="252" t="s">
        <v>3</v>
      </c>
      <c r="D18" s="253"/>
      <c r="E18" s="254" t="s">
        <v>208</v>
      </c>
      <c r="F18" s="255"/>
      <c r="G18" s="108"/>
      <c r="H18" s="109"/>
    </row>
    <row r="19" spans="2:8" ht="28.5" customHeight="1" x14ac:dyDescent="0.25">
      <c r="B19" s="105"/>
      <c r="C19" s="252" t="s">
        <v>42</v>
      </c>
      <c r="D19" s="253"/>
      <c r="E19" s="254" t="s">
        <v>209</v>
      </c>
      <c r="F19" s="255"/>
      <c r="G19" s="108"/>
      <c r="H19" s="109"/>
    </row>
    <row r="20" spans="2:8" ht="72.75" customHeight="1" x14ac:dyDescent="0.25">
      <c r="B20" s="105"/>
      <c r="C20" s="252" t="s">
        <v>1</v>
      </c>
      <c r="D20" s="253"/>
      <c r="E20" s="254" t="s">
        <v>210</v>
      </c>
      <c r="F20" s="255"/>
      <c r="G20" s="108"/>
      <c r="H20" s="109"/>
    </row>
    <row r="21" spans="2:8" ht="64.5" customHeight="1" x14ac:dyDescent="0.25">
      <c r="B21" s="105"/>
      <c r="C21" s="252" t="s">
        <v>50</v>
      </c>
      <c r="D21" s="253"/>
      <c r="E21" s="254" t="s">
        <v>168</v>
      </c>
      <c r="F21" s="255"/>
      <c r="G21" s="108"/>
      <c r="H21" s="109"/>
    </row>
    <row r="22" spans="2:8" ht="71.25" customHeight="1" x14ac:dyDescent="0.25">
      <c r="B22" s="105"/>
      <c r="C22" s="252" t="s">
        <v>167</v>
      </c>
      <c r="D22" s="253"/>
      <c r="E22" s="254" t="s">
        <v>169</v>
      </c>
      <c r="F22" s="255"/>
      <c r="G22" s="108"/>
      <c r="H22" s="109"/>
    </row>
    <row r="23" spans="2:8" ht="55.5" customHeight="1" x14ac:dyDescent="0.25">
      <c r="B23" s="105"/>
      <c r="C23" s="259" t="s">
        <v>170</v>
      </c>
      <c r="D23" s="260"/>
      <c r="E23" s="254" t="s">
        <v>171</v>
      </c>
      <c r="F23" s="255"/>
      <c r="G23" s="108"/>
      <c r="H23" s="109"/>
    </row>
    <row r="24" spans="2:8" ht="42" customHeight="1" x14ac:dyDescent="0.25">
      <c r="B24" s="105"/>
      <c r="C24" s="259" t="s">
        <v>48</v>
      </c>
      <c r="D24" s="260"/>
      <c r="E24" s="254" t="s">
        <v>172</v>
      </c>
      <c r="F24" s="255"/>
      <c r="G24" s="108"/>
      <c r="H24" s="109"/>
    </row>
    <row r="25" spans="2:8" ht="59.25" customHeight="1" x14ac:dyDescent="0.25">
      <c r="B25" s="105"/>
      <c r="C25" s="259" t="s">
        <v>160</v>
      </c>
      <c r="D25" s="260"/>
      <c r="E25" s="254" t="s">
        <v>173</v>
      </c>
      <c r="F25" s="255"/>
      <c r="G25" s="108"/>
      <c r="H25" s="109"/>
    </row>
    <row r="26" spans="2:8" ht="23.25" customHeight="1" x14ac:dyDescent="0.25">
      <c r="B26" s="105"/>
      <c r="C26" s="259" t="s">
        <v>12</v>
      </c>
      <c r="D26" s="260"/>
      <c r="E26" s="254" t="s">
        <v>174</v>
      </c>
      <c r="F26" s="255"/>
      <c r="G26" s="108"/>
      <c r="H26" s="109"/>
    </row>
    <row r="27" spans="2:8" ht="30.75" customHeight="1" x14ac:dyDescent="0.25">
      <c r="B27" s="105"/>
      <c r="C27" s="259" t="s">
        <v>178</v>
      </c>
      <c r="D27" s="260"/>
      <c r="E27" s="254" t="s">
        <v>175</v>
      </c>
      <c r="F27" s="255"/>
      <c r="G27" s="108"/>
      <c r="H27" s="109"/>
    </row>
    <row r="28" spans="2:8" ht="35.25" customHeight="1" x14ac:dyDescent="0.25">
      <c r="B28" s="105"/>
      <c r="C28" s="259" t="s">
        <v>179</v>
      </c>
      <c r="D28" s="260"/>
      <c r="E28" s="254" t="s">
        <v>176</v>
      </c>
      <c r="F28" s="255"/>
      <c r="G28" s="108"/>
      <c r="H28" s="109"/>
    </row>
    <row r="29" spans="2:8" ht="33" customHeight="1" x14ac:dyDescent="0.25">
      <c r="B29" s="105"/>
      <c r="C29" s="259" t="s">
        <v>179</v>
      </c>
      <c r="D29" s="260"/>
      <c r="E29" s="254" t="s">
        <v>176</v>
      </c>
      <c r="F29" s="255"/>
      <c r="G29" s="108"/>
      <c r="H29" s="109"/>
    </row>
    <row r="30" spans="2:8" ht="30" customHeight="1" x14ac:dyDescent="0.25">
      <c r="B30" s="105"/>
      <c r="C30" s="259" t="s">
        <v>180</v>
      </c>
      <c r="D30" s="260"/>
      <c r="E30" s="254" t="s">
        <v>177</v>
      </c>
      <c r="F30" s="255"/>
      <c r="G30" s="108"/>
      <c r="H30" s="109"/>
    </row>
    <row r="31" spans="2:8" ht="35.25" customHeight="1" x14ac:dyDescent="0.25">
      <c r="B31" s="105"/>
      <c r="C31" s="259" t="s">
        <v>181</v>
      </c>
      <c r="D31" s="260"/>
      <c r="E31" s="254" t="s">
        <v>182</v>
      </c>
      <c r="F31" s="255"/>
      <c r="G31" s="108"/>
      <c r="H31" s="109"/>
    </row>
    <row r="32" spans="2:8" ht="31.5" customHeight="1" x14ac:dyDescent="0.25">
      <c r="B32" s="105"/>
      <c r="C32" s="259" t="s">
        <v>183</v>
      </c>
      <c r="D32" s="260"/>
      <c r="E32" s="254" t="s">
        <v>184</v>
      </c>
      <c r="F32" s="255"/>
      <c r="G32" s="108"/>
      <c r="H32" s="109"/>
    </row>
    <row r="33" spans="2:8" ht="35.25" customHeight="1" x14ac:dyDescent="0.25">
      <c r="B33" s="105"/>
      <c r="C33" s="259" t="s">
        <v>185</v>
      </c>
      <c r="D33" s="260"/>
      <c r="E33" s="254" t="s">
        <v>186</v>
      </c>
      <c r="F33" s="255"/>
      <c r="G33" s="108"/>
      <c r="H33" s="109"/>
    </row>
    <row r="34" spans="2:8" ht="59.25" customHeight="1" x14ac:dyDescent="0.25">
      <c r="B34" s="105"/>
      <c r="C34" s="259" t="s">
        <v>187</v>
      </c>
      <c r="D34" s="260"/>
      <c r="E34" s="254" t="s">
        <v>188</v>
      </c>
      <c r="F34" s="255"/>
      <c r="G34" s="108"/>
      <c r="H34" s="109"/>
    </row>
    <row r="35" spans="2:8" ht="29.25" customHeight="1" x14ac:dyDescent="0.25">
      <c r="B35" s="105"/>
      <c r="C35" s="259" t="s">
        <v>29</v>
      </c>
      <c r="D35" s="260"/>
      <c r="E35" s="254" t="s">
        <v>189</v>
      </c>
      <c r="F35" s="255"/>
      <c r="G35" s="108"/>
      <c r="H35" s="109"/>
    </row>
    <row r="36" spans="2:8" ht="82.5" customHeight="1" x14ac:dyDescent="0.25">
      <c r="B36" s="105"/>
      <c r="C36" s="259" t="s">
        <v>191</v>
      </c>
      <c r="D36" s="260"/>
      <c r="E36" s="254" t="s">
        <v>190</v>
      </c>
      <c r="F36" s="255"/>
      <c r="G36" s="108"/>
      <c r="H36" s="109"/>
    </row>
    <row r="37" spans="2:8" ht="46.5" customHeight="1" x14ac:dyDescent="0.25">
      <c r="B37" s="105"/>
      <c r="C37" s="259" t="s">
        <v>39</v>
      </c>
      <c r="D37" s="260"/>
      <c r="E37" s="254" t="s">
        <v>192</v>
      </c>
      <c r="F37" s="255"/>
      <c r="G37" s="108"/>
      <c r="H37" s="109"/>
    </row>
    <row r="38" spans="2:8" ht="6.75" customHeight="1" thickBot="1" x14ac:dyDescent="0.3">
      <c r="B38" s="105"/>
      <c r="C38" s="261"/>
      <c r="D38" s="262"/>
      <c r="E38" s="263"/>
      <c r="F38" s="264"/>
      <c r="G38" s="108"/>
      <c r="H38" s="109"/>
    </row>
    <row r="39" spans="2:8" ht="15.75" thickTop="1" x14ac:dyDescent="0.25">
      <c r="B39" s="105"/>
      <c r="C39" s="106"/>
      <c r="D39" s="106"/>
      <c r="E39" s="107"/>
      <c r="F39" s="107"/>
      <c r="G39" s="108"/>
      <c r="H39" s="109"/>
    </row>
    <row r="40" spans="2:8" ht="21" customHeight="1" x14ac:dyDescent="0.25">
      <c r="B40" s="256" t="s">
        <v>201</v>
      </c>
      <c r="C40" s="257"/>
      <c r="D40" s="257"/>
      <c r="E40" s="257"/>
      <c r="F40" s="257"/>
      <c r="G40" s="257"/>
      <c r="H40" s="258"/>
    </row>
    <row r="41" spans="2:8" ht="20.25" customHeight="1" x14ac:dyDescent="0.25">
      <c r="B41" s="256" t="s">
        <v>202</v>
      </c>
      <c r="C41" s="257"/>
      <c r="D41" s="257"/>
      <c r="E41" s="257"/>
      <c r="F41" s="257"/>
      <c r="G41" s="257"/>
      <c r="H41" s="258"/>
    </row>
    <row r="42" spans="2:8" ht="20.25" customHeight="1" x14ac:dyDescent="0.25">
      <c r="B42" s="256" t="s">
        <v>203</v>
      </c>
      <c r="C42" s="257"/>
      <c r="D42" s="257"/>
      <c r="E42" s="257"/>
      <c r="F42" s="257"/>
      <c r="G42" s="257"/>
      <c r="H42" s="258"/>
    </row>
    <row r="43" spans="2:8" ht="20.25" customHeight="1" x14ac:dyDescent="0.25">
      <c r="B43" s="256" t="s">
        <v>204</v>
      </c>
      <c r="C43" s="257"/>
      <c r="D43" s="257"/>
      <c r="E43" s="257"/>
      <c r="F43" s="257"/>
      <c r="G43" s="257"/>
      <c r="H43" s="258"/>
    </row>
    <row r="44" spans="2:8" x14ac:dyDescent="0.25">
      <c r="B44" s="256" t="s">
        <v>205</v>
      </c>
      <c r="C44" s="257"/>
      <c r="D44" s="257"/>
      <c r="E44" s="257"/>
      <c r="F44" s="257"/>
      <c r="G44" s="257"/>
      <c r="H44" s="258"/>
    </row>
    <row r="45" spans="2:8" ht="15.75" thickBot="1" x14ac:dyDescent="0.3">
      <c r="B45" s="110"/>
      <c r="C45" s="111"/>
      <c r="D45" s="111"/>
      <c r="E45" s="111"/>
      <c r="F45" s="111"/>
      <c r="G45" s="111"/>
      <c r="H45" s="112"/>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R57"/>
  <sheetViews>
    <sheetView tabSelected="1" topLeftCell="A4" zoomScale="55" zoomScaleNormal="55" workbookViewId="0">
      <pane ySplit="6" topLeftCell="A10" activePane="bottomLeft" state="frozen"/>
      <selection activeCell="A4" sqref="A4"/>
      <selection pane="bottomLeft" activeCell="A5" sqref="A5:B5"/>
    </sheetView>
  </sheetViews>
  <sheetFormatPr baseColWidth="10" defaultColWidth="11.42578125" defaultRowHeight="16.5" x14ac:dyDescent="0.3"/>
  <cols>
    <col min="1" max="1" width="4" style="2" bestFit="1" customWidth="1"/>
    <col min="2" max="2" width="14.140625" style="2" customWidth="1"/>
    <col min="3" max="3" width="39.140625" style="2" customWidth="1"/>
    <col min="4" max="4" width="48.42578125" style="2" customWidth="1"/>
    <col min="5" max="5" width="46.140625" style="1" customWidth="1"/>
    <col min="6" max="6" width="19" style="4" customWidth="1"/>
    <col min="7" max="7" width="17.85546875" style="1" customWidth="1"/>
    <col min="8" max="8" width="16.5703125" style="1" customWidth="1"/>
    <col min="9" max="9" width="6.42578125" style="1" bestFit="1" customWidth="1"/>
    <col min="10" max="10" width="27.42578125" style="1" bestFit="1" customWidth="1"/>
    <col min="11" max="11" width="30.42578125" style="1" customWidth="1"/>
    <col min="12" max="12" width="17.5703125" style="1" customWidth="1"/>
    <col min="13" max="13" width="6.425781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5703125" style="1" customWidth="1"/>
    <col min="23" max="23" width="7.5703125" style="1" customWidth="1"/>
    <col min="24" max="24" width="8.42578125" style="1" customWidth="1"/>
    <col min="25" max="25" width="8.5703125" style="1" customWidth="1"/>
    <col min="26" max="26" width="10.42578125" style="1" customWidth="1"/>
    <col min="27" max="27" width="9.42578125" style="1" customWidth="1"/>
    <col min="28" max="28" width="9.140625" style="1" customWidth="1"/>
    <col min="29" max="29" width="8.42578125" style="1" customWidth="1"/>
    <col min="30" max="30" width="7.42578125" style="1" customWidth="1"/>
    <col min="31" max="31" width="56.5703125" style="1" customWidth="1"/>
    <col min="32" max="32" width="23" style="1" customWidth="1"/>
    <col min="33" max="33" width="18.85546875" style="224" customWidth="1"/>
    <col min="34" max="34" width="24" style="1" customWidth="1"/>
    <col min="35" max="35" width="20.7109375" style="1" customWidth="1"/>
    <col min="36" max="36" width="84.42578125" style="1" customWidth="1"/>
    <col min="37" max="37" width="92.85546875" style="1" customWidth="1"/>
    <col min="38" max="38" width="21" style="1" customWidth="1"/>
    <col min="39" max="16384" width="11.42578125" style="1"/>
  </cols>
  <sheetData>
    <row r="1" spans="1:70" ht="16.5" customHeight="1" x14ac:dyDescent="0.3">
      <c r="A1" s="334" t="s">
        <v>214</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row>
    <row r="2" spans="1:70" ht="98.1" customHeight="1" x14ac:dyDescent="0.3">
      <c r="A2" s="337"/>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9"/>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0" x14ac:dyDescent="0.3">
      <c r="A3" s="24"/>
      <c r="B3" s="25"/>
      <c r="C3" s="24"/>
      <c r="D3" s="24"/>
      <c r="E3" s="6"/>
      <c r="F3" s="23"/>
      <c r="G3" s="6"/>
      <c r="H3" s="6"/>
      <c r="I3" s="6"/>
      <c r="J3" s="6"/>
      <c r="K3" s="6"/>
      <c r="L3" s="6"/>
      <c r="M3" s="6"/>
      <c r="N3" s="6"/>
      <c r="O3" s="6"/>
      <c r="P3" s="6"/>
      <c r="Q3" s="6"/>
      <c r="R3" s="6"/>
      <c r="S3" s="6"/>
      <c r="T3" s="6"/>
      <c r="U3" s="6"/>
      <c r="V3" s="6"/>
      <c r="W3" s="6"/>
      <c r="X3" s="6"/>
      <c r="Y3" s="6"/>
      <c r="Z3" s="6"/>
      <c r="AA3" s="6"/>
      <c r="AB3" s="6"/>
      <c r="AC3" s="6"/>
      <c r="AD3" s="6"/>
      <c r="AE3" s="6"/>
      <c r="AG3" s="223"/>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0" ht="26.25" customHeight="1" x14ac:dyDescent="0.3">
      <c r="A4" s="347" t="s">
        <v>43</v>
      </c>
      <c r="B4" s="348"/>
      <c r="C4" s="340" t="s">
        <v>285</v>
      </c>
      <c r="D4" s="341"/>
      <c r="E4" s="341"/>
      <c r="F4" s="341"/>
      <c r="G4" s="341"/>
      <c r="H4" s="341"/>
      <c r="I4" s="341"/>
      <c r="J4" s="341"/>
      <c r="K4" s="341"/>
      <c r="L4" s="341"/>
      <c r="M4" s="341"/>
      <c r="N4" s="342"/>
      <c r="O4" s="343"/>
      <c r="P4" s="343"/>
      <c r="Q4" s="343"/>
      <c r="R4" s="6"/>
      <c r="S4" s="6"/>
      <c r="T4" s="6"/>
      <c r="U4" s="6"/>
      <c r="V4" s="6"/>
      <c r="W4" s="6"/>
      <c r="X4" s="6"/>
      <c r="Y4" s="6"/>
      <c r="Z4" s="6"/>
      <c r="AA4" s="6"/>
      <c r="AB4" s="6"/>
      <c r="AC4" s="6"/>
      <c r="AD4" s="6"/>
      <c r="AE4" s="6"/>
      <c r="AG4" s="223"/>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row>
    <row r="5" spans="1:70" ht="53.45" customHeight="1" x14ac:dyDescent="0.3">
      <c r="A5" s="347" t="s">
        <v>130</v>
      </c>
      <c r="B5" s="348"/>
      <c r="C5" s="325" t="s">
        <v>286</v>
      </c>
      <c r="D5" s="326"/>
      <c r="E5" s="326"/>
      <c r="F5" s="326"/>
      <c r="G5" s="326"/>
      <c r="H5" s="326"/>
      <c r="I5" s="326"/>
      <c r="J5" s="326"/>
      <c r="K5" s="326"/>
      <c r="L5" s="326"/>
      <c r="M5" s="326"/>
      <c r="N5" s="327"/>
      <c r="O5" s="6"/>
      <c r="P5" s="6"/>
      <c r="Q5" s="6"/>
      <c r="R5" s="6"/>
      <c r="S5" s="6"/>
      <c r="T5" s="6"/>
      <c r="U5" s="6"/>
      <c r="V5" s="6"/>
      <c r="W5" s="6"/>
      <c r="X5" s="6"/>
      <c r="Y5" s="6"/>
      <c r="Z5" s="6"/>
      <c r="AA5" s="6"/>
      <c r="AB5" s="6"/>
      <c r="AC5" s="6"/>
      <c r="AD5" s="6"/>
      <c r="AE5" s="6"/>
      <c r="AG5" s="223"/>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row>
    <row r="6" spans="1:70" ht="43.15" customHeight="1" x14ac:dyDescent="0.3">
      <c r="A6" s="347" t="s">
        <v>44</v>
      </c>
      <c r="B6" s="348"/>
      <c r="C6" s="325" t="s">
        <v>287</v>
      </c>
      <c r="D6" s="326"/>
      <c r="E6" s="326"/>
      <c r="F6" s="326"/>
      <c r="G6" s="326"/>
      <c r="H6" s="326"/>
      <c r="I6" s="326"/>
      <c r="J6" s="326"/>
      <c r="K6" s="326"/>
      <c r="L6" s="326"/>
      <c r="M6" s="326"/>
      <c r="N6" s="327"/>
      <c r="O6" s="6"/>
      <c r="P6" s="6"/>
      <c r="Q6" s="6"/>
      <c r="R6" s="6"/>
      <c r="S6" s="6"/>
      <c r="T6" s="6"/>
      <c r="U6" s="6"/>
      <c r="V6" s="6"/>
      <c r="W6" s="6"/>
      <c r="X6" s="6"/>
      <c r="Y6" s="6"/>
      <c r="Z6" s="6"/>
      <c r="AA6" s="6"/>
      <c r="AB6" s="6"/>
      <c r="AC6" s="6"/>
      <c r="AD6" s="6"/>
      <c r="AE6" s="6"/>
      <c r="AG6" s="223"/>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row>
    <row r="7" spans="1:70" s="134" customFormat="1" x14ac:dyDescent="0.3">
      <c r="A7" s="344" t="s">
        <v>138</v>
      </c>
      <c r="B7" s="345"/>
      <c r="C7" s="345"/>
      <c r="D7" s="345"/>
      <c r="E7" s="345"/>
      <c r="F7" s="345"/>
      <c r="G7" s="346"/>
      <c r="H7" s="344" t="s">
        <v>139</v>
      </c>
      <c r="I7" s="345"/>
      <c r="J7" s="345"/>
      <c r="K7" s="345"/>
      <c r="L7" s="345"/>
      <c r="M7" s="345"/>
      <c r="N7" s="346"/>
      <c r="O7" s="344" t="s">
        <v>140</v>
      </c>
      <c r="P7" s="345"/>
      <c r="Q7" s="345"/>
      <c r="R7" s="345"/>
      <c r="S7" s="345"/>
      <c r="T7" s="345"/>
      <c r="U7" s="345"/>
      <c r="V7" s="345"/>
      <c r="W7" s="346"/>
      <c r="X7" s="344" t="s">
        <v>141</v>
      </c>
      <c r="Y7" s="345"/>
      <c r="Z7" s="345"/>
      <c r="AA7" s="345"/>
      <c r="AB7" s="345"/>
      <c r="AC7" s="345"/>
      <c r="AD7" s="346"/>
      <c r="AE7" s="175" t="s">
        <v>34</v>
      </c>
      <c r="AF7" s="176"/>
      <c r="AG7" s="176"/>
      <c r="AH7" s="176"/>
      <c r="AI7" s="176"/>
      <c r="AJ7" s="176"/>
      <c r="AK7" s="176"/>
      <c r="AL7" s="177"/>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row>
    <row r="8" spans="1:70" ht="16.5" customHeight="1" x14ac:dyDescent="0.3">
      <c r="A8" s="332" t="s">
        <v>0</v>
      </c>
      <c r="B8" s="322" t="s">
        <v>2</v>
      </c>
      <c r="C8" s="318" t="s">
        <v>3</v>
      </c>
      <c r="D8" s="318" t="s">
        <v>42</v>
      </c>
      <c r="E8" s="316" t="s">
        <v>1</v>
      </c>
      <c r="F8" s="324" t="s">
        <v>50</v>
      </c>
      <c r="G8" s="318" t="s">
        <v>134</v>
      </c>
      <c r="H8" s="328" t="s">
        <v>33</v>
      </c>
      <c r="I8" s="329" t="s">
        <v>5</v>
      </c>
      <c r="J8" s="324" t="s">
        <v>87</v>
      </c>
      <c r="K8" s="324" t="s">
        <v>92</v>
      </c>
      <c r="L8" s="331" t="s">
        <v>45</v>
      </c>
      <c r="M8" s="329" t="s">
        <v>5</v>
      </c>
      <c r="N8" s="318" t="s">
        <v>48</v>
      </c>
      <c r="O8" s="320" t="s">
        <v>11</v>
      </c>
      <c r="P8" s="319" t="s">
        <v>160</v>
      </c>
      <c r="Q8" s="324" t="s">
        <v>12</v>
      </c>
      <c r="R8" s="319" t="s">
        <v>8</v>
      </c>
      <c r="S8" s="319"/>
      <c r="T8" s="319"/>
      <c r="U8" s="319"/>
      <c r="V8" s="319"/>
      <c r="W8" s="319"/>
      <c r="X8" s="323" t="s">
        <v>137</v>
      </c>
      <c r="Y8" s="323" t="s">
        <v>46</v>
      </c>
      <c r="Z8" s="323" t="s">
        <v>5</v>
      </c>
      <c r="AA8" s="323" t="s">
        <v>47</v>
      </c>
      <c r="AB8" s="323" t="s">
        <v>5</v>
      </c>
      <c r="AC8" s="323" t="s">
        <v>49</v>
      </c>
      <c r="AD8" s="320" t="s">
        <v>29</v>
      </c>
      <c r="AE8" s="319" t="s">
        <v>34</v>
      </c>
      <c r="AF8" s="319" t="s">
        <v>211</v>
      </c>
      <c r="AG8" s="319" t="s">
        <v>35</v>
      </c>
      <c r="AH8" s="319" t="s">
        <v>36</v>
      </c>
      <c r="AI8" s="319" t="s">
        <v>38</v>
      </c>
      <c r="AJ8" s="319" t="s">
        <v>37</v>
      </c>
      <c r="AK8" s="324" t="s">
        <v>213</v>
      </c>
      <c r="AL8" s="319" t="s">
        <v>39</v>
      </c>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0" s="3" customFormat="1" ht="42.75" customHeight="1" x14ac:dyDescent="0.25">
      <c r="A9" s="333"/>
      <c r="B9" s="316"/>
      <c r="C9" s="319"/>
      <c r="D9" s="319"/>
      <c r="E9" s="317"/>
      <c r="F9" s="318"/>
      <c r="G9" s="319"/>
      <c r="H9" s="318"/>
      <c r="I9" s="330"/>
      <c r="J9" s="318"/>
      <c r="K9" s="318"/>
      <c r="L9" s="330"/>
      <c r="M9" s="330"/>
      <c r="N9" s="319"/>
      <c r="O9" s="321"/>
      <c r="P9" s="319"/>
      <c r="Q9" s="318"/>
      <c r="R9" s="123" t="s">
        <v>13</v>
      </c>
      <c r="S9" s="123" t="s">
        <v>17</v>
      </c>
      <c r="T9" s="123" t="s">
        <v>28</v>
      </c>
      <c r="U9" s="123" t="s">
        <v>18</v>
      </c>
      <c r="V9" s="123" t="s">
        <v>21</v>
      </c>
      <c r="W9" s="123" t="s">
        <v>24</v>
      </c>
      <c r="X9" s="323"/>
      <c r="Y9" s="323"/>
      <c r="Z9" s="323"/>
      <c r="AA9" s="323"/>
      <c r="AB9" s="323"/>
      <c r="AC9" s="323"/>
      <c r="AD9" s="321"/>
      <c r="AE9" s="319"/>
      <c r="AF9" s="319"/>
      <c r="AG9" s="319"/>
      <c r="AH9" s="319"/>
      <c r="AI9" s="319"/>
      <c r="AJ9" s="319"/>
      <c r="AK9" s="318"/>
      <c r="AL9" s="319"/>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row>
    <row r="10" spans="1:70" s="3" customFormat="1" ht="56.25" customHeight="1" x14ac:dyDescent="0.25">
      <c r="A10" s="283">
        <v>1</v>
      </c>
      <c r="B10" s="280" t="s">
        <v>133</v>
      </c>
      <c r="C10" s="280" t="s">
        <v>215</v>
      </c>
      <c r="D10" s="280" t="s">
        <v>216</v>
      </c>
      <c r="E10" s="309" t="s">
        <v>217</v>
      </c>
      <c r="F10" s="286" t="s">
        <v>123</v>
      </c>
      <c r="G10" s="289">
        <v>60</v>
      </c>
      <c r="H10" s="292" t="str">
        <f>IF(G10&lt;=0,"",IF(G10&lt;=2,"Muy Baja",IF(G10&lt;=24,"Baja",IF(G10&lt;=500,"Media",IF(G10&lt;=5000,"Alta","Muy Alta")))))</f>
        <v>Media</v>
      </c>
      <c r="I10" s="265">
        <f>IF(H10="","",IF(H10="Muy Baja",0.2,IF(H10="Baja",0.4,IF(H10="Media",0.6,IF(H10="Alta",0.8,IF(H10="Muy Alta",1,))))))</f>
        <v>0.6</v>
      </c>
      <c r="J10" s="295" t="s">
        <v>152</v>
      </c>
      <c r="K10" s="265" t="str">
        <f>IF(NOT(ISERROR(MATCH(J10,'[1]Tabla Impacto'!$B$221:$B$223,0))),'[1]Tabla Impacto'!$F$223&amp;"Por favor no seleccionar los criterios de impacto(Afectación Económica o presupuestal y Pérdida Reputacional)",J10)</f>
        <v xml:space="preserve">     El riesgo afecta la imagen de la entidad con algunos usuarios de relevancia frente al logro de los objetivos</v>
      </c>
      <c r="L10" s="292" t="str">
        <f>IF(OR(K10='[1]Tabla Impacto'!$C$11,K10='[1]Tabla Impacto'!$D$11),"Leve",IF(OR(K10='[1]Tabla Impacto'!$C$12,K10='[1]Tabla Impacto'!$D$12),"Menor",IF(OR(K10='[1]Tabla Impacto'!$C$13,K10='[1]Tabla Impacto'!$D$13),"Moderado",IF(OR(K10='[1]Tabla Impacto'!$C$14,K10='[1]Tabla Impacto'!$D$14),"Mayor",IF(OR(K10='[1]Tabla Impacto'!$C$15,K10='[1]Tabla Impacto'!$D$15),"Catastrófico","")))))</f>
        <v>Moderado</v>
      </c>
      <c r="M10" s="265">
        <f>IF(L10="","",IF(L10="Leve",0.2,IF(L10="Menor",0.4,IF(L10="Moderado",0.6,IF(L10="Mayor",0.8,IF(L10="Catastrófico",1,))))))</f>
        <v>0.6</v>
      </c>
      <c r="N10" s="297"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283">
        <v>1</v>
      </c>
      <c r="P10" s="295" t="s">
        <v>218</v>
      </c>
      <c r="Q10" s="303" t="str">
        <f>IF(OR(R10="Preventivo",R10="Detectivo"),"Probabilidad",IF(R10="Correctivo","Impacto",""))</f>
        <v>Probabilidad</v>
      </c>
      <c r="R10" s="277" t="s">
        <v>15</v>
      </c>
      <c r="S10" s="277" t="s">
        <v>9</v>
      </c>
      <c r="T10" s="271" t="str">
        <f>IF(AND(R10="Preventivo",S10="Automático"),"50%",IF(AND(R10="Preventivo",S10="Manual"),"40%",IF(AND(R10="Detectivo",S10="Automático"),"40%",IF(AND(R10="Detectivo",S10="Manual"),"30%",IF(AND(R10="Correctivo",S10="Automático"),"35%",IF(AND(R10="Correctivo",S10="Manual"),"25%",""))))))</f>
        <v>30%</v>
      </c>
      <c r="U10" s="277" t="s">
        <v>20</v>
      </c>
      <c r="V10" s="277" t="s">
        <v>22</v>
      </c>
      <c r="W10" s="277" t="s">
        <v>119</v>
      </c>
      <c r="X10" s="306">
        <f>IFERROR(IF(Q10="Probabilidad",(I10-(+I10*T10)),IF(Q10="Impacto",I10,"")),"")</f>
        <v>0.42</v>
      </c>
      <c r="Y10" s="268" t="str">
        <f>IFERROR(IF(X10="","",IF(X10&lt;=0.2,"Muy Baja",IF(X10&lt;=0.4,"Baja",IF(X10&lt;=0.6,"Media",IF(X10&lt;=0.8,"Alta","Muy Alta"))))),"")</f>
        <v>Media</v>
      </c>
      <c r="Z10" s="271">
        <f>+X10</f>
        <v>0.42</v>
      </c>
      <c r="AA10" s="268" t="str">
        <f>IFERROR(IF(AB10="","",IF(AB10&lt;=0.2,"Leve",IF(AB10&lt;=0.4,"Menor",IF(AB10&lt;=0.6,"Moderado",IF(AB10&lt;=0.8,"Mayor","Catastrófico"))))),"")</f>
        <v>Moderado</v>
      </c>
      <c r="AB10" s="271">
        <f>IFERROR(IF(Q10="Impacto",(M10-(+M10*T10)),IF(Q10="Probabilidad",M10,"")),"")</f>
        <v>0.6</v>
      </c>
      <c r="AC10" s="274"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313" t="s">
        <v>135</v>
      </c>
      <c r="AE10" s="180" t="s">
        <v>340</v>
      </c>
      <c r="AF10" s="180" t="s">
        <v>341</v>
      </c>
      <c r="AG10" s="280" t="s">
        <v>342</v>
      </c>
      <c r="AH10" s="181">
        <v>45901</v>
      </c>
      <c r="AI10" s="181">
        <v>45992</v>
      </c>
      <c r="AJ10" s="180"/>
      <c r="AK10" s="182"/>
      <c r="AL10" s="180"/>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row>
    <row r="11" spans="1:70" s="3" customFormat="1" ht="42.75" customHeight="1" x14ac:dyDescent="0.25">
      <c r="A11" s="284"/>
      <c r="B11" s="281"/>
      <c r="C11" s="281"/>
      <c r="D11" s="281"/>
      <c r="E11" s="310"/>
      <c r="F11" s="287"/>
      <c r="G11" s="290"/>
      <c r="H11" s="293"/>
      <c r="I11" s="266"/>
      <c r="J11" s="296"/>
      <c r="K11" s="266"/>
      <c r="L11" s="293"/>
      <c r="M11" s="266"/>
      <c r="N11" s="298"/>
      <c r="O11" s="284"/>
      <c r="P11" s="296"/>
      <c r="Q11" s="304"/>
      <c r="R11" s="278"/>
      <c r="S11" s="278"/>
      <c r="T11" s="272"/>
      <c r="U11" s="278"/>
      <c r="V11" s="278"/>
      <c r="W11" s="278"/>
      <c r="X11" s="307"/>
      <c r="Y11" s="269"/>
      <c r="Z11" s="272"/>
      <c r="AA11" s="269"/>
      <c r="AB11" s="272"/>
      <c r="AC11" s="275"/>
      <c r="AD11" s="314"/>
      <c r="AE11" s="180" t="s">
        <v>343</v>
      </c>
      <c r="AF11" s="180" t="s">
        <v>349</v>
      </c>
      <c r="AG11" s="281"/>
      <c r="AH11" s="181">
        <v>45834</v>
      </c>
      <c r="AI11" s="181">
        <v>46107</v>
      </c>
      <c r="AJ11" s="180"/>
      <c r="AK11" s="182"/>
      <c r="AL11" s="179"/>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row>
    <row r="12" spans="1:70" s="3" customFormat="1" ht="42.75" customHeight="1" x14ac:dyDescent="0.25">
      <c r="A12" s="284"/>
      <c r="B12" s="281"/>
      <c r="C12" s="281"/>
      <c r="D12" s="281"/>
      <c r="E12" s="310"/>
      <c r="F12" s="287"/>
      <c r="G12" s="290"/>
      <c r="H12" s="293"/>
      <c r="I12" s="266"/>
      <c r="J12" s="296"/>
      <c r="K12" s="266"/>
      <c r="L12" s="293"/>
      <c r="M12" s="266"/>
      <c r="N12" s="298"/>
      <c r="O12" s="284"/>
      <c r="P12" s="296"/>
      <c r="Q12" s="304"/>
      <c r="R12" s="278"/>
      <c r="S12" s="278"/>
      <c r="T12" s="272"/>
      <c r="U12" s="278"/>
      <c r="V12" s="278"/>
      <c r="W12" s="278"/>
      <c r="X12" s="307"/>
      <c r="Y12" s="269"/>
      <c r="Z12" s="272"/>
      <c r="AA12" s="269"/>
      <c r="AB12" s="272"/>
      <c r="AC12" s="275"/>
      <c r="AD12" s="314"/>
      <c r="AE12" s="180" t="s">
        <v>344</v>
      </c>
      <c r="AF12" s="180" t="s">
        <v>341</v>
      </c>
      <c r="AG12" s="281"/>
      <c r="AH12" s="181">
        <v>45940</v>
      </c>
      <c r="AI12" s="181">
        <v>46023</v>
      </c>
      <c r="AJ12" s="180"/>
      <c r="AK12" s="182"/>
      <c r="AL12" s="179"/>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row>
    <row r="13" spans="1:70" ht="57" customHeight="1" x14ac:dyDescent="0.3">
      <c r="A13" s="285"/>
      <c r="B13" s="281"/>
      <c r="C13" s="282"/>
      <c r="D13" s="282"/>
      <c r="E13" s="311"/>
      <c r="F13" s="288"/>
      <c r="G13" s="291"/>
      <c r="H13" s="294"/>
      <c r="I13" s="267"/>
      <c r="J13" s="312"/>
      <c r="K13" s="267"/>
      <c r="L13" s="294"/>
      <c r="M13" s="267"/>
      <c r="N13" s="299"/>
      <c r="O13" s="285"/>
      <c r="P13" s="312"/>
      <c r="Q13" s="305"/>
      <c r="R13" s="279"/>
      <c r="S13" s="279"/>
      <c r="T13" s="273"/>
      <c r="U13" s="279"/>
      <c r="V13" s="279"/>
      <c r="W13" s="279"/>
      <c r="X13" s="308"/>
      <c r="Y13" s="270"/>
      <c r="Z13" s="273"/>
      <c r="AA13" s="270"/>
      <c r="AB13" s="273"/>
      <c r="AC13" s="276"/>
      <c r="AD13" s="315"/>
      <c r="AE13" s="166" t="s">
        <v>345</v>
      </c>
      <c r="AF13" s="131" t="s">
        <v>341</v>
      </c>
      <c r="AG13" s="282"/>
      <c r="AH13" s="132">
        <v>45957</v>
      </c>
      <c r="AI13" s="135">
        <v>46049</v>
      </c>
      <c r="AJ13" s="166"/>
      <c r="AK13" s="183"/>
      <c r="AL13" s="121"/>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0" ht="63" customHeight="1" x14ac:dyDescent="0.3">
      <c r="A14" s="283">
        <v>2</v>
      </c>
      <c r="B14" s="281" t="s">
        <v>133</v>
      </c>
      <c r="C14" s="280" t="s">
        <v>220</v>
      </c>
      <c r="D14" s="280" t="s">
        <v>221</v>
      </c>
      <c r="E14" s="309" t="s">
        <v>222</v>
      </c>
      <c r="F14" s="280" t="s">
        <v>123</v>
      </c>
      <c r="G14" s="289">
        <v>60</v>
      </c>
      <c r="H14" s="292" t="str">
        <f>IF(G14&lt;=0,"",IF(G14&lt;=2,"Muy Baja",IF(G14&lt;=24,"Baja",IF(G14&lt;=500,"Media",IF(G14&lt;=5000,"Alta","Muy Alta")))))</f>
        <v>Media</v>
      </c>
      <c r="I14" s="265">
        <f>IF(H14="","",IF(H14="Muy Baja",0.2,IF(H14="Baja",0.4,IF(H14="Media",0.6,IF(H14="Alta",0.8,IF(H14="Muy Alta",1,))))))</f>
        <v>0.6</v>
      </c>
      <c r="J14" s="295" t="s">
        <v>152</v>
      </c>
      <c r="K14" s="265" t="str">
        <f>IF(NOT(ISERROR(MATCH(J14,'[1]Tabla Impacto'!$B$221:$B$223,0))),'[1]Tabla Impacto'!$F$223&amp;"Por favor no seleccionar los criterios de impacto(Afectación Económica o presupuestal y Pérdida Reputacional)",J14)</f>
        <v xml:space="preserve">     El riesgo afecta la imagen de la entidad con algunos usuarios de relevancia frente al logro de los objetivos</v>
      </c>
      <c r="L14" s="292" t="str">
        <f>IF(OR(K14='[1]Tabla Impacto'!$C$11,K14='[1]Tabla Impacto'!$D$11),"Leve",IF(OR(K14='[1]Tabla Impacto'!$C$12,K14='[1]Tabla Impacto'!$D$12),"Menor",IF(OR(K14='[1]Tabla Impacto'!$C$13,K14='[1]Tabla Impacto'!$D$13),"Moderado",IF(OR(K14='[1]Tabla Impacto'!$C$14,K14='[1]Tabla Impacto'!$D$14),"Mayor",IF(OR(K14='[1]Tabla Impacto'!$C$15,K14='[1]Tabla Impacto'!$D$15),"Catastrófico","")))))</f>
        <v>Moderado</v>
      </c>
      <c r="M14" s="265">
        <f>IF(L14="","",IF(L14="Leve",0.2,IF(L14="Menor",0.4,IF(L14="Moderado",0.6,IF(L14="Mayor",0.8,IF(L14="Catastrófico",1,))))))</f>
        <v>0.6</v>
      </c>
      <c r="N14" s="297" t="str">
        <f>IF(OR(AND(H14="Muy Baja",L14="Leve"),AND(H14="Muy Baja",L14="Menor"),AND(H14="Baja",L14="Leve")),"Bajo",IF(OR(AND(H14="Muy baja",L14="Moderado"),AND(H14="Baja",L14="Menor"),AND(H14="Baja",L14="Moderado"),AND(H14="Media",L14="Leve"),AND(H14="Media",L14="Menor"),AND(H14="Media",L14="Moderado"),AND(H14="Alta",L14="Leve"),AND(H14="Alta",L14="Menor")),"Moderado",IF(OR(AND(H14="Muy Baja",L14="Mayor"),AND(H14="Baja",L14="Mayor"),AND(H14="Media",L14="Mayor"),AND(H14="Alta",L14="Moderado"),AND(H14="Alta",L14="Mayor"),AND(H14="Muy Alta",L14="Leve"),AND(H14="Muy Alta",L14="Menor"),AND(H14="Muy Alta",L14="Moderado"),AND(H14="Muy Alta",L14="Mayor")),"Alto",IF(OR(AND(H14="Muy Baja",L14="Catastrófico"),AND(H14="Baja",L14="Catastrófico"),AND(H14="Media",L14="Catastrófico"),AND(H14="Alta",L14="Catastrófico"),AND(H14="Muy Alta",L14="Catastrófico")),"Extremo",""))))</f>
        <v>Moderado</v>
      </c>
      <c r="O14" s="283">
        <v>1</v>
      </c>
      <c r="P14" s="295" t="s">
        <v>223</v>
      </c>
      <c r="Q14" s="303" t="str">
        <f>IF(OR(R14="Preventivo",R14="Detectivo"),"Probabilidad",IF(R14="Correctivo","Impacto",""))</f>
        <v>Impacto</v>
      </c>
      <c r="R14" s="277" t="s">
        <v>16</v>
      </c>
      <c r="S14" s="277" t="s">
        <v>9</v>
      </c>
      <c r="T14" s="271" t="str">
        <f>IF(AND(R14="Preventivo",S14="Automático"),"50%",IF(AND(R14="Preventivo",S14="Manual"),"40%",IF(AND(R14="Detectivo",S14="Automático"),"40%",IF(AND(R14="Detectivo",S14="Manual"),"30%",IF(AND(R14="Correctivo",S14="Automático"),"35%",IF(AND(R14="Correctivo",S14="Manual"),"25%",""))))))</f>
        <v>25%</v>
      </c>
      <c r="U14" s="277" t="s">
        <v>20</v>
      </c>
      <c r="V14" s="277" t="s">
        <v>22</v>
      </c>
      <c r="W14" s="277" t="s">
        <v>119</v>
      </c>
      <c r="X14" s="306">
        <f>IFERROR(IF(Q14="Probabilidad",(I14-(+I14*T14)),IF(Q14="Impacto",I14,"")),"")</f>
        <v>0.6</v>
      </c>
      <c r="Y14" s="268" t="str">
        <f>IFERROR(IF(X14="","",IF(X14&lt;=0.2,"Muy Baja",IF(X14&lt;=0.4,"Baja",IF(X14&lt;=0.6,"Media",IF(X14&lt;=0.8,"Alta","Muy Alta"))))),"")</f>
        <v>Media</v>
      </c>
      <c r="Z14" s="271">
        <f>+X14</f>
        <v>0.6</v>
      </c>
      <c r="AA14" s="268" t="str">
        <f>IFERROR(IF(AB14="","",IF(AB14&lt;=0.2,"Leve",IF(AB14&lt;=0.4,"Menor",IF(AB14&lt;=0.6,"Moderado",IF(AB14&lt;=0.8,"Mayor","Catastrófico"))))),"")</f>
        <v>Moderado</v>
      </c>
      <c r="AB14" s="271">
        <f>IFERROR(IF(Q14="Impacto",(M14-(+M14*T14)),IF(Q14="Probabilidad",M14,"")),"")</f>
        <v>0.44999999999999996</v>
      </c>
      <c r="AC14" s="274" t="str">
        <f>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Moderado</v>
      </c>
      <c r="AD14" s="277" t="s">
        <v>135</v>
      </c>
      <c r="AE14" s="166" t="s">
        <v>346</v>
      </c>
      <c r="AF14" s="131" t="s">
        <v>349</v>
      </c>
      <c r="AG14" s="280" t="s">
        <v>219</v>
      </c>
      <c r="AH14" s="132">
        <v>45889</v>
      </c>
      <c r="AI14" s="135">
        <v>46042</v>
      </c>
      <c r="AJ14" s="166"/>
      <c r="AK14" s="183"/>
      <c r="AL14" s="121"/>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row>
    <row r="15" spans="1:70" ht="57" customHeight="1" x14ac:dyDescent="0.3">
      <c r="A15" s="284"/>
      <c r="B15" s="281"/>
      <c r="C15" s="281"/>
      <c r="D15" s="281"/>
      <c r="E15" s="310"/>
      <c r="F15" s="281"/>
      <c r="G15" s="290"/>
      <c r="H15" s="293"/>
      <c r="I15" s="266"/>
      <c r="J15" s="296"/>
      <c r="K15" s="266"/>
      <c r="L15" s="293"/>
      <c r="M15" s="266"/>
      <c r="N15" s="298"/>
      <c r="O15" s="284"/>
      <c r="P15" s="296"/>
      <c r="Q15" s="304"/>
      <c r="R15" s="278"/>
      <c r="S15" s="278"/>
      <c r="T15" s="272"/>
      <c r="U15" s="278"/>
      <c r="V15" s="278"/>
      <c r="W15" s="278"/>
      <c r="X15" s="307"/>
      <c r="Y15" s="269"/>
      <c r="Z15" s="272"/>
      <c r="AA15" s="269"/>
      <c r="AB15" s="272"/>
      <c r="AC15" s="275"/>
      <c r="AD15" s="278"/>
      <c r="AE15" s="166" t="s">
        <v>347</v>
      </c>
      <c r="AF15" s="131" t="s">
        <v>212</v>
      </c>
      <c r="AG15" s="281"/>
      <c r="AH15" s="132">
        <v>45980</v>
      </c>
      <c r="AI15" s="135" t="s">
        <v>350</v>
      </c>
      <c r="AJ15" s="166"/>
      <c r="AK15" s="183"/>
      <c r="AL15" s="121"/>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row>
    <row r="16" spans="1:70" ht="71.25" customHeight="1" x14ac:dyDescent="0.3">
      <c r="A16" s="285"/>
      <c r="B16" s="281"/>
      <c r="C16" s="282"/>
      <c r="D16" s="282"/>
      <c r="E16" s="311"/>
      <c r="F16" s="282"/>
      <c r="G16" s="291"/>
      <c r="H16" s="294"/>
      <c r="I16" s="267"/>
      <c r="J16" s="312"/>
      <c r="K16" s="267"/>
      <c r="L16" s="294"/>
      <c r="M16" s="267"/>
      <c r="N16" s="299"/>
      <c r="O16" s="285"/>
      <c r="P16" s="312"/>
      <c r="Q16" s="305"/>
      <c r="R16" s="279"/>
      <c r="S16" s="279"/>
      <c r="T16" s="273"/>
      <c r="U16" s="279"/>
      <c r="V16" s="279"/>
      <c r="W16" s="279"/>
      <c r="X16" s="308"/>
      <c r="Y16" s="270"/>
      <c r="Z16" s="273"/>
      <c r="AA16" s="270"/>
      <c r="AB16" s="273"/>
      <c r="AC16" s="276"/>
      <c r="AD16" s="279"/>
      <c r="AE16" s="166" t="s">
        <v>348</v>
      </c>
      <c r="AF16" s="131" t="s">
        <v>349</v>
      </c>
      <c r="AG16" s="282"/>
      <c r="AH16" s="132">
        <v>45989</v>
      </c>
      <c r="AI16" s="135">
        <v>46162</v>
      </c>
      <c r="AJ16" s="166"/>
      <c r="AK16" s="183"/>
      <c r="AL16" s="121"/>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row>
    <row r="17" spans="1:70" ht="71.25" customHeight="1" x14ac:dyDescent="0.3">
      <c r="A17" s="283">
        <v>3</v>
      </c>
      <c r="B17" s="281" t="s">
        <v>131</v>
      </c>
      <c r="C17" s="280" t="s">
        <v>224</v>
      </c>
      <c r="D17" s="280" t="s">
        <v>225</v>
      </c>
      <c r="E17" s="280" t="s">
        <v>226</v>
      </c>
      <c r="F17" s="280" t="s">
        <v>123</v>
      </c>
      <c r="G17" s="289">
        <v>20</v>
      </c>
      <c r="H17" s="292" t="str">
        <f>IF(G17&lt;=0,"",IF(G17&lt;=2,"Muy Baja",IF(G17&lt;=24,"Baja",IF(G17&lt;=500,"Media",IF(G17&lt;=5000,"Alta","Muy Alta")))))</f>
        <v>Baja</v>
      </c>
      <c r="I17" s="265">
        <f>IF(H17="","",IF(H17="Muy Baja",0.2,IF(H17="Baja",0.4,IF(H17="Media",0.6,IF(H17="Alta",0.8,IF(H17="Muy Alta",1,))))))</f>
        <v>0.4</v>
      </c>
      <c r="J17" s="295" t="s">
        <v>151</v>
      </c>
      <c r="K17" s="265" t="str">
        <f>IF(NOT(ISERROR(MATCH(J17,'[1]Tabla Impacto'!$B$221:$B$223,0))),'[1]Tabla Impacto'!$F$223&amp;"Por favor no seleccionar los criterios de impacto(Afectación Económica o presupuestal y Pérdida Reputacional)",J17)</f>
        <v xml:space="preserve">     El riesgo afecta la imagen de la entidad internamente, de conocimiento general, nivel interno, de junta dircetiva y accionistas y/o de provedores</v>
      </c>
      <c r="L17" s="292" t="str">
        <f>IF(OR(K17='[1]Tabla Impacto'!$C$11,K17='[1]Tabla Impacto'!$D$11),"Leve",IF(OR(K17='[1]Tabla Impacto'!$C$12,K17='[1]Tabla Impacto'!$D$12),"Menor",IF(OR(K17='[1]Tabla Impacto'!$C$13,K17='[1]Tabla Impacto'!$D$13),"Moderado",IF(OR(K17='[1]Tabla Impacto'!$C$14,K17='[1]Tabla Impacto'!$D$14),"Mayor",IF(OR(K17='[1]Tabla Impacto'!$C$15,K17='[1]Tabla Impacto'!$D$15),"Catastrófico","")))))</f>
        <v>Menor</v>
      </c>
      <c r="M17" s="265">
        <f>IF(L17="","",IF(L17="Leve",0.2,IF(L17="Menor",0.4,IF(L17="Moderado",0.6,IF(L17="Mayor",0.8,IF(L17="Catastrófico",1,))))))</f>
        <v>0.4</v>
      </c>
      <c r="N17" s="297" t="str">
        <f>IF(OR(AND(H17="Muy Baja",L17="Leve"),AND(H17="Muy Baja",L17="Menor"),AND(H17="Baja",L17="Leve")),"Bajo",IF(OR(AND(H17="Muy baja",L17="Moderado"),AND(H17="Baja",L17="Menor"),AND(H17="Baja",L17="Moderado"),AND(H17="Media",L17="Leve"),AND(H17="Media",L17="Menor"),AND(H17="Media",L17="Moderado"),AND(H17="Alta",L17="Leve"),AND(H17="Alta",L17="Menor")),"Moderado",IF(OR(AND(H17="Muy Baja",L17="Mayor"),AND(H17="Baja",L17="Mayor"),AND(H17="Media",L17="Mayor"),AND(H17="Alta",L17="Moderado"),AND(H17="Alta",L17="Mayor"),AND(H17="Muy Alta",L17="Leve"),AND(H17="Muy Alta",L17="Menor"),AND(H17="Muy Alta",L17="Moderado"),AND(H17="Muy Alta",L17="Mayor")),"Alto",IF(OR(AND(H17="Muy Baja",L17="Catastrófico"),AND(H17="Baja",L17="Catastrófico"),AND(H17="Media",L17="Catastrófico"),AND(H17="Alta",L17="Catastrófico"),AND(H17="Muy Alta",L17="Catastrófico")),"Extremo",""))))</f>
        <v>Moderado</v>
      </c>
      <c r="O17" s="283">
        <v>1</v>
      </c>
      <c r="P17" s="300" t="s">
        <v>227</v>
      </c>
      <c r="Q17" s="303" t="str">
        <f>IF(OR(R17="Preventivo",R17="Detectivo"),"Probabilidad",IF(R17="Correctivo","Impacto",""))</f>
        <v>Impacto</v>
      </c>
      <c r="R17" s="277" t="s">
        <v>16</v>
      </c>
      <c r="S17" s="277" t="s">
        <v>9</v>
      </c>
      <c r="T17" s="271" t="str">
        <f>IF(AND(R17="Preventivo",S17="Automático"),"50%",IF(AND(R17="Preventivo",S17="Manual"),"40%",IF(AND(R17="Detectivo",S17="Automático"),"40%",IF(AND(R17="Detectivo",S17="Manual"),"30%",IF(AND(R17="Correctivo",S17="Automático"),"35%",IF(AND(R17="Correctivo",S17="Manual"),"25%",""))))))</f>
        <v>25%</v>
      </c>
      <c r="U17" s="277" t="s">
        <v>20</v>
      </c>
      <c r="V17" s="277" t="s">
        <v>22</v>
      </c>
      <c r="W17" s="277" t="s">
        <v>119</v>
      </c>
      <c r="X17" s="306">
        <f>IFERROR(IF(Q17="Probabilidad",(I17-(+I17*T17)),IF(Q17="Impacto",I17,"")),"")</f>
        <v>0.4</v>
      </c>
      <c r="Y17" s="268" t="str">
        <f>IFERROR(IF(X17="","",IF(X17&lt;=0.2,"Muy Baja",IF(X17&lt;=0.4,"Baja",IF(X17&lt;=0.6,"Media",IF(X17&lt;=0.8,"Alta","Muy Alta"))))),"")</f>
        <v>Baja</v>
      </c>
      <c r="Z17" s="271">
        <f>+X17</f>
        <v>0.4</v>
      </c>
      <c r="AA17" s="268" t="str">
        <f>IFERROR(IF(AB17="","",IF(AB17&lt;=0.2,"Leve",IF(AB17&lt;=0.4,"Menor",IF(AB17&lt;=0.6,"Moderado",IF(AB17&lt;=0.8,"Mayor","Catastrófico"))))),"")</f>
        <v>Menor</v>
      </c>
      <c r="AB17" s="271">
        <f>IFERROR(IF(Q17="Impacto",(M17-(+M17*T17)),IF(Q17="Probabilidad",M17,"")),"")</f>
        <v>0.30000000000000004</v>
      </c>
      <c r="AC17" s="274" t="str">
        <f>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277" t="s">
        <v>135</v>
      </c>
      <c r="AE17" s="166" t="s">
        <v>351</v>
      </c>
      <c r="AF17" s="131" t="s">
        <v>212</v>
      </c>
      <c r="AG17" s="280" t="s">
        <v>219</v>
      </c>
      <c r="AH17" s="132">
        <v>45966</v>
      </c>
      <c r="AI17" s="135" t="s">
        <v>353</v>
      </c>
      <c r="AJ17" s="166"/>
      <c r="AK17" s="183"/>
      <c r="AL17" s="121"/>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row>
    <row r="18" spans="1:70" ht="79.900000000000006" customHeight="1" x14ac:dyDescent="0.3">
      <c r="A18" s="285"/>
      <c r="B18" s="281"/>
      <c r="C18" s="282"/>
      <c r="D18" s="282"/>
      <c r="E18" s="282"/>
      <c r="F18" s="282"/>
      <c r="G18" s="291"/>
      <c r="H18" s="294"/>
      <c r="I18" s="267"/>
      <c r="J18" s="312"/>
      <c r="K18" s="267"/>
      <c r="L18" s="294"/>
      <c r="M18" s="267"/>
      <c r="N18" s="299"/>
      <c r="O18" s="285"/>
      <c r="P18" s="302"/>
      <c r="Q18" s="305"/>
      <c r="R18" s="279"/>
      <c r="S18" s="279"/>
      <c r="T18" s="273"/>
      <c r="U18" s="279"/>
      <c r="V18" s="279"/>
      <c r="W18" s="279"/>
      <c r="X18" s="308"/>
      <c r="Y18" s="270"/>
      <c r="Z18" s="273"/>
      <c r="AA18" s="270"/>
      <c r="AB18" s="273"/>
      <c r="AC18" s="276"/>
      <c r="AD18" s="279"/>
      <c r="AE18" s="166" t="s">
        <v>352</v>
      </c>
      <c r="AF18" s="131" t="s">
        <v>212</v>
      </c>
      <c r="AG18" s="282"/>
      <c r="AH18" s="132">
        <v>46037</v>
      </c>
      <c r="AI18" s="132" t="s">
        <v>350</v>
      </c>
      <c r="AJ18" s="167"/>
      <c r="AK18" s="183"/>
      <c r="AL18" s="121"/>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0" ht="47.25" customHeight="1" x14ac:dyDescent="0.3">
      <c r="A19" s="283">
        <v>4</v>
      </c>
      <c r="B19" s="281" t="s">
        <v>133</v>
      </c>
      <c r="C19" s="280" t="s">
        <v>228</v>
      </c>
      <c r="D19" s="280" t="s">
        <v>229</v>
      </c>
      <c r="E19" s="309" t="s">
        <v>230</v>
      </c>
      <c r="F19" s="280" t="s">
        <v>125</v>
      </c>
      <c r="G19" s="289">
        <v>480</v>
      </c>
      <c r="H19" s="292" t="str">
        <f>IF(G19&lt;=0,"",IF(G19&lt;=2,"Muy Baja",IF(G19&lt;=24,"Baja",IF(G19&lt;=500,"Media",IF(G19&lt;=5000,"Alta","Muy Alta")))))</f>
        <v>Media</v>
      </c>
      <c r="I19" s="265">
        <f>IF(H19="","",IF(H19="Muy Baja",0.2,IF(H19="Baja",0.4,IF(H19="Media",0.6,IF(H19="Alta",0.8,IF(H19="Muy Alta",1,))))))</f>
        <v>0.6</v>
      </c>
      <c r="J19" s="295" t="s">
        <v>153</v>
      </c>
      <c r="K19" s="265" t="str">
        <f>IF(NOT(ISERROR(MATCH(J19,'[1]Tabla Impacto'!$B$221:$B$223,0))),'[1]Tabla Impacto'!$F$223&amp;"Por favor no seleccionar los criterios de impacto(Afectación Económica o presupuestal y Pérdida Reputacional)",J19)</f>
        <v xml:space="preserve">     El riesgo afecta la imagen de de la entidad con efecto publicitario sostenido a nivel de sector administrativo, nivel departamental o municipal</v>
      </c>
      <c r="L19" s="292" t="str">
        <f>IF(OR(K19='[1]Tabla Impacto'!$C$11,K19='[1]Tabla Impacto'!$D$11),"Leve",IF(OR(K19='[1]Tabla Impacto'!$C$12,K19='[1]Tabla Impacto'!$D$12),"Menor",IF(OR(K19='[1]Tabla Impacto'!$C$13,K19='[1]Tabla Impacto'!$D$13),"Moderado",IF(OR(K19='[1]Tabla Impacto'!$C$14,K19='[1]Tabla Impacto'!$D$14),"Mayor",IF(OR(K19='[1]Tabla Impacto'!$C$15,K19='[1]Tabla Impacto'!$D$15),"Catastrófico","")))))</f>
        <v>Mayor</v>
      </c>
      <c r="M19" s="265">
        <f>IF(L19="","",IF(L19="Leve",0.2,IF(L19="Menor",0.4,IF(L19="Moderado",0.6,IF(L19="Mayor",0.8,IF(L19="Catastrófico",1,))))))</f>
        <v>0.8</v>
      </c>
      <c r="N19" s="297" t="str">
        <f>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Alto</v>
      </c>
      <c r="O19" s="283">
        <v>1</v>
      </c>
      <c r="P19" s="300" t="s">
        <v>231</v>
      </c>
      <c r="Q19" s="303" t="str">
        <f>IF(OR(R19="Preventivo",R19="Detectivo"),"Probabilidad",IF(R19="Correctivo","Impacto",""))</f>
        <v>Probabilidad</v>
      </c>
      <c r="R19" s="277" t="s">
        <v>14</v>
      </c>
      <c r="S19" s="277" t="s">
        <v>9</v>
      </c>
      <c r="T19" s="271" t="str">
        <f>IF(AND(R19="Preventivo",S19="Automático"),"50%",IF(AND(R19="Preventivo",S19="Manual"),"40%",IF(AND(R19="Detectivo",S19="Automático"),"40%",IF(AND(R19="Detectivo",S19="Manual"),"30%",IF(AND(R19="Correctivo",S19="Automático"),"35%",IF(AND(R19="Correctivo",S19="Manual"),"25%",""))))))</f>
        <v>40%</v>
      </c>
      <c r="U19" s="277" t="s">
        <v>19</v>
      </c>
      <c r="V19" s="277" t="s">
        <v>22</v>
      </c>
      <c r="W19" s="277" t="s">
        <v>119</v>
      </c>
      <c r="X19" s="306">
        <f>IFERROR(IF(Q19="Probabilidad",(I19-(+I19*T19)),IF(Q19="Impacto",I19,"")),"")</f>
        <v>0.36</v>
      </c>
      <c r="Y19" s="268" t="str">
        <f>IFERROR(IF(X19="","",IF(X19&lt;=0.2,"Muy Baja",IF(X19&lt;=0.4,"Baja",IF(X19&lt;=0.6,"Media",IF(X19&lt;=0.8,"Alta","Muy Alta"))))),"")</f>
        <v>Baja</v>
      </c>
      <c r="Z19" s="271">
        <f>+X19</f>
        <v>0.36</v>
      </c>
      <c r="AA19" s="268" t="str">
        <f>IFERROR(IF(AB19="","",IF(AB19&lt;=0.2,"Leve",IF(AB19&lt;=0.4,"Menor",IF(AB19&lt;=0.6,"Moderado",IF(AB19&lt;=0.8,"Mayor","Catastrófico"))))),"")</f>
        <v>Mayor</v>
      </c>
      <c r="AB19" s="271">
        <f>IFERROR(IF(Q19="Impacto",(M19-(+M19*T19)),IF(Q19="Probabilidad",M19,"")),"")</f>
        <v>0.8</v>
      </c>
      <c r="AC19" s="274"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Alto</v>
      </c>
      <c r="AD19" s="277" t="s">
        <v>135</v>
      </c>
      <c r="AE19" s="166" t="s">
        <v>354</v>
      </c>
      <c r="AF19" s="131" t="s">
        <v>341</v>
      </c>
      <c r="AG19" s="280" t="s">
        <v>219</v>
      </c>
      <c r="AH19" s="184">
        <v>45925</v>
      </c>
      <c r="AI19" s="132">
        <v>46016</v>
      </c>
      <c r="AJ19" s="167"/>
      <c r="AK19" s="183"/>
      <c r="AL19" s="121"/>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row>
    <row r="20" spans="1:70" ht="64.5" customHeight="1" x14ac:dyDescent="0.3">
      <c r="A20" s="284"/>
      <c r="B20" s="281"/>
      <c r="C20" s="281"/>
      <c r="D20" s="281"/>
      <c r="E20" s="310"/>
      <c r="F20" s="281"/>
      <c r="G20" s="290"/>
      <c r="H20" s="293"/>
      <c r="I20" s="266"/>
      <c r="J20" s="296"/>
      <c r="K20" s="266"/>
      <c r="L20" s="293"/>
      <c r="M20" s="266"/>
      <c r="N20" s="298"/>
      <c r="O20" s="284"/>
      <c r="P20" s="301"/>
      <c r="Q20" s="304"/>
      <c r="R20" s="278"/>
      <c r="S20" s="278"/>
      <c r="T20" s="272"/>
      <c r="U20" s="278"/>
      <c r="V20" s="278"/>
      <c r="W20" s="278"/>
      <c r="X20" s="307"/>
      <c r="Y20" s="269"/>
      <c r="Z20" s="272"/>
      <c r="AA20" s="269"/>
      <c r="AB20" s="272"/>
      <c r="AC20" s="275"/>
      <c r="AD20" s="278"/>
      <c r="AE20" s="166" t="s">
        <v>355</v>
      </c>
      <c r="AF20" s="131" t="s">
        <v>349</v>
      </c>
      <c r="AG20" s="281"/>
      <c r="AH20" s="184">
        <v>45960</v>
      </c>
      <c r="AI20" s="132">
        <v>46142</v>
      </c>
      <c r="AJ20" s="167"/>
      <c r="AK20" s="183"/>
      <c r="AL20" s="121"/>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0" ht="67.5" customHeight="1" x14ac:dyDescent="0.3">
      <c r="A21" s="285"/>
      <c r="B21" s="281"/>
      <c r="C21" s="282"/>
      <c r="D21" s="282"/>
      <c r="E21" s="311"/>
      <c r="F21" s="282"/>
      <c r="G21" s="291"/>
      <c r="H21" s="294"/>
      <c r="I21" s="267"/>
      <c r="J21" s="312"/>
      <c r="K21" s="267"/>
      <c r="L21" s="294"/>
      <c r="M21" s="267"/>
      <c r="N21" s="299"/>
      <c r="O21" s="285"/>
      <c r="P21" s="302"/>
      <c r="Q21" s="305"/>
      <c r="R21" s="279"/>
      <c r="S21" s="279"/>
      <c r="T21" s="273"/>
      <c r="U21" s="279"/>
      <c r="V21" s="279"/>
      <c r="W21" s="279"/>
      <c r="X21" s="308"/>
      <c r="Y21" s="270"/>
      <c r="Z21" s="273"/>
      <c r="AA21" s="270"/>
      <c r="AB21" s="273"/>
      <c r="AC21" s="276"/>
      <c r="AD21" s="279"/>
      <c r="AE21" s="166" t="s">
        <v>356</v>
      </c>
      <c r="AF21" s="131" t="s">
        <v>349</v>
      </c>
      <c r="AG21" s="282"/>
      <c r="AH21" s="132">
        <v>45874</v>
      </c>
      <c r="AI21" s="135">
        <v>46027</v>
      </c>
      <c r="AJ21" s="166"/>
      <c r="AK21" s="183"/>
      <c r="AL21" s="121"/>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row>
    <row r="22" spans="1:70" ht="62.25" customHeight="1" x14ac:dyDescent="0.3">
      <c r="A22" s="283">
        <v>5</v>
      </c>
      <c r="B22" s="281" t="s">
        <v>131</v>
      </c>
      <c r="C22" s="280" t="s">
        <v>290</v>
      </c>
      <c r="D22" s="280" t="s">
        <v>232</v>
      </c>
      <c r="E22" s="286" t="s">
        <v>233</v>
      </c>
      <c r="F22" s="280" t="s">
        <v>126</v>
      </c>
      <c r="G22" s="289">
        <v>5</v>
      </c>
      <c r="H22" s="292" t="str">
        <f>IF(G22&lt;=0,"",IF(G22&lt;=2,"Muy Baja",IF(G22&lt;=24,"Baja",IF(G22&lt;=500,"Media",IF(G22&lt;=5000,"Alta","Muy Alta")))))</f>
        <v>Baja</v>
      </c>
      <c r="I22" s="265">
        <f>IF(H22="","",IF(H22="Muy Baja",0.2,IF(H22="Baja",0.4,IF(H22="Media",0.6,IF(H22="Alta",0.8,IF(H22="Muy Alta",1,))))))</f>
        <v>0.4</v>
      </c>
      <c r="J22" s="295" t="s">
        <v>152</v>
      </c>
      <c r="K22" s="265" t="str">
        <f>IF(NOT(ISERROR(MATCH(J22,'[1]Tabla Impacto'!$B$221:$B$223,0))),'[1]Tabla Impacto'!$F$223&amp;"Por favor no seleccionar los criterios de impacto(Afectación Económica o presupuestal y Pérdida Reputacional)",J22)</f>
        <v xml:space="preserve">     El riesgo afecta la imagen de la entidad con algunos usuarios de relevancia frente al logro de los objetivos</v>
      </c>
      <c r="L22" s="292" t="str">
        <f>IF(OR(K22='[1]Tabla Impacto'!$C$11,K22='[1]Tabla Impacto'!$D$11),"Leve",IF(OR(K22='[1]Tabla Impacto'!$C$12,K22='[1]Tabla Impacto'!$D$12),"Menor",IF(OR(K22='[1]Tabla Impacto'!$C$13,K22='[1]Tabla Impacto'!$D$13),"Moderado",IF(OR(K22='[1]Tabla Impacto'!$C$14,K22='[1]Tabla Impacto'!$D$14),"Mayor",IF(OR(K22='[1]Tabla Impacto'!$C$15,K22='[1]Tabla Impacto'!$D$15),"Catastrófico","")))))</f>
        <v>Moderado</v>
      </c>
      <c r="M22" s="265">
        <f>IF(L22="","",IF(L22="Leve",0.2,IF(L22="Menor",0.4,IF(L22="Moderado",0.6,IF(L22="Mayor",0.8,IF(L22="Catastrófico",1,))))))</f>
        <v>0.6</v>
      </c>
      <c r="N22" s="297"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283">
        <v>1</v>
      </c>
      <c r="P22" s="300" t="s">
        <v>234</v>
      </c>
      <c r="Q22" s="303" t="str">
        <f>IF(OR(R22="Preventivo",R22="Detectivo"),"Probabilidad",IF(R22="Correctivo","Impacto",""))</f>
        <v>Impacto</v>
      </c>
      <c r="R22" s="277" t="s">
        <v>16</v>
      </c>
      <c r="S22" s="277" t="s">
        <v>9</v>
      </c>
      <c r="T22" s="271" t="str">
        <f>IF(AND(R22="Preventivo",S22="Automático"),"50%",IF(AND(R22="Preventivo",S22="Manual"),"40%",IF(AND(R22="Detectivo",S22="Automático"),"40%",IF(AND(R22="Detectivo",S22="Manual"),"30%",IF(AND(R22="Correctivo",S22="Automático"),"35%",IF(AND(R22="Correctivo",S22="Manual"),"25%",""))))))</f>
        <v>25%</v>
      </c>
      <c r="U22" s="277" t="s">
        <v>20</v>
      </c>
      <c r="V22" s="277" t="s">
        <v>22</v>
      </c>
      <c r="W22" s="277" t="s">
        <v>120</v>
      </c>
      <c r="X22" s="306">
        <f>IFERROR(IF(Q22="Probabilidad",(I22-(+I22*T22)),IF(Q22="Impacto",I22,"")),"")</f>
        <v>0.4</v>
      </c>
      <c r="Y22" s="268" t="str">
        <f>IFERROR(IF(X22="","",IF(X22&lt;=0.2,"Muy Baja",IF(X22&lt;=0.4,"Baja",IF(X22&lt;=0.6,"Media",IF(X22&lt;=0.8,"Alta","Muy Alta"))))),"")</f>
        <v>Baja</v>
      </c>
      <c r="Z22" s="271">
        <f>+X22</f>
        <v>0.4</v>
      </c>
      <c r="AA22" s="268" t="str">
        <f>IFERROR(IF(AB22="","",IF(AB22&lt;=0.2,"Leve",IF(AB22&lt;=0.4,"Menor",IF(AB22&lt;=0.6,"Moderado",IF(AB22&lt;=0.8,"Mayor","Catastrófico"))))),"")</f>
        <v>Moderado</v>
      </c>
      <c r="AB22" s="271">
        <f>IFERROR(IF(Q22="Impacto",(M22-(+M22*T22)),IF(Q22="Probabilidad",M22,"")),"")</f>
        <v>0.44999999999999996</v>
      </c>
      <c r="AC22" s="274"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277" t="s">
        <v>135</v>
      </c>
      <c r="AE22" s="166" t="s">
        <v>357</v>
      </c>
      <c r="AF22" s="131" t="s">
        <v>349</v>
      </c>
      <c r="AG22" s="280" t="s">
        <v>219</v>
      </c>
      <c r="AH22" s="132">
        <v>45898</v>
      </c>
      <c r="AI22" s="135" t="s">
        <v>360</v>
      </c>
      <c r="AJ22" s="166"/>
      <c r="AK22" s="183"/>
      <c r="AL22" s="121"/>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row>
    <row r="23" spans="1:70" ht="62.25" customHeight="1" x14ac:dyDescent="0.3">
      <c r="A23" s="284"/>
      <c r="B23" s="281"/>
      <c r="C23" s="281"/>
      <c r="D23" s="281"/>
      <c r="E23" s="287"/>
      <c r="F23" s="281"/>
      <c r="G23" s="290"/>
      <c r="H23" s="293"/>
      <c r="I23" s="266"/>
      <c r="J23" s="296"/>
      <c r="K23" s="266"/>
      <c r="L23" s="293"/>
      <c r="M23" s="266"/>
      <c r="N23" s="298"/>
      <c r="O23" s="284"/>
      <c r="P23" s="301"/>
      <c r="Q23" s="304"/>
      <c r="R23" s="278"/>
      <c r="S23" s="278"/>
      <c r="T23" s="272"/>
      <c r="U23" s="278"/>
      <c r="V23" s="278"/>
      <c r="W23" s="278"/>
      <c r="X23" s="307"/>
      <c r="Y23" s="269"/>
      <c r="Z23" s="272"/>
      <c r="AA23" s="269"/>
      <c r="AB23" s="272"/>
      <c r="AC23" s="275"/>
      <c r="AD23" s="278"/>
      <c r="AE23" s="166" t="s">
        <v>358</v>
      </c>
      <c r="AF23" s="131" t="s">
        <v>341</v>
      </c>
      <c r="AG23" s="281"/>
      <c r="AH23" s="132">
        <v>46005</v>
      </c>
      <c r="AI23" s="135">
        <v>45730</v>
      </c>
      <c r="AJ23" s="166"/>
      <c r="AK23" s="183"/>
      <c r="AL23" s="121"/>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row>
    <row r="24" spans="1:70" ht="60" customHeight="1" x14ac:dyDescent="0.3">
      <c r="A24" s="285"/>
      <c r="B24" s="281"/>
      <c r="C24" s="281"/>
      <c r="D24" s="282"/>
      <c r="E24" s="288"/>
      <c r="F24" s="281"/>
      <c r="G24" s="291"/>
      <c r="H24" s="294"/>
      <c r="I24" s="266"/>
      <c r="J24" s="296"/>
      <c r="K24" s="266"/>
      <c r="L24" s="294"/>
      <c r="M24" s="266"/>
      <c r="N24" s="299"/>
      <c r="O24" s="285"/>
      <c r="P24" s="302"/>
      <c r="Q24" s="305"/>
      <c r="R24" s="279"/>
      <c r="S24" s="279"/>
      <c r="T24" s="273"/>
      <c r="U24" s="279"/>
      <c r="V24" s="279"/>
      <c r="W24" s="279"/>
      <c r="X24" s="308"/>
      <c r="Y24" s="270"/>
      <c r="Z24" s="273"/>
      <c r="AA24" s="270"/>
      <c r="AB24" s="273"/>
      <c r="AC24" s="276"/>
      <c r="AD24" s="279"/>
      <c r="AE24" s="120" t="s">
        <v>359</v>
      </c>
      <c r="AF24" s="131" t="s">
        <v>341</v>
      </c>
      <c r="AG24" s="282"/>
      <c r="AH24" s="132">
        <v>45916</v>
      </c>
      <c r="AI24" s="132">
        <v>46007</v>
      </c>
      <c r="AJ24" s="166"/>
      <c r="AK24" s="183"/>
      <c r="AL24" s="121"/>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row>
    <row r="25" spans="1:70" ht="190.9" customHeight="1" x14ac:dyDescent="0.3">
      <c r="A25" s="152">
        <v>6</v>
      </c>
      <c r="B25" s="155" t="s">
        <v>133</v>
      </c>
      <c r="C25" s="157" t="s">
        <v>289</v>
      </c>
      <c r="D25" s="149" t="s">
        <v>235</v>
      </c>
      <c r="E25" s="165" t="s">
        <v>288</v>
      </c>
      <c r="F25" s="157" t="s">
        <v>123</v>
      </c>
      <c r="G25" s="150">
        <v>4</v>
      </c>
      <c r="H25" s="151" t="str">
        <f t="shared" ref="H25:H31" si="0">IF(G25&lt;=0,"",IF(G25&lt;=2,"Muy Baja",IF(G25&lt;=24,"Baja",IF(G25&lt;=500,"Media",IF(G25&lt;=5000,"Alta","Muy Alta")))))</f>
        <v>Baja</v>
      </c>
      <c r="I25" s="160">
        <f t="shared" ref="I25:I31" si="1">IF(H25="","",IF(H25="Muy Baja",0.2,IF(H25="Baja",0.4,IF(H25="Media",0.6,IF(H25="Alta",0.8,IF(H25="Muy Alta",1,))))))</f>
        <v>0.4</v>
      </c>
      <c r="J25" s="163" t="s">
        <v>90</v>
      </c>
      <c r="K25" s="160" t="s">
        <v>333</v>
      </c>
      <c r="L25" s="151" t="s">
        <v>84</v>
      </c>
      <c r="M25" s="173">
        <f>IF(L25="","",IF(L25="Leve",0.2,IF(L25="Menor",0.4,IF(L25="Moderado",0.6,IF(L25="Mayor",0.8,IF(L25="Catastrófico",1,))))))</f>
        <v>0.4</v>
      </c>
      <c r="N25" s="153" t="str">
        <f t="shared" ref="N25:N28" si="2">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Moderado</v>
      </c>
      <c r="O25" s="5">
        <v>1</v>
      </c>
      <c r="P25" s="147" t="s">
        <v>402</v>
      </c>
      <c r="Q25" s="122" t="str">
        <f t="shared" ref="Q25:Q26" si="3">IF(OR(R25="Preventivo",R25="Detectivo"),"Probabilidad",IF(R25="Correctivo","Impacto",""))</f>
        <v>Impacto</v>
      </c>
      <c r="R25" s="124" t="s">
        <v>16</v>
      </c>
      <c r="S25" s="124" t="s">
        <v>9</v>
      </c>
      <c r="T25" s="125" t="str">
        <f t="shared" ref="T25:T26" si="4">IF(AND(R25="Preventivo",S25="Automático"),"50%",IF(AND(R25="Preventivo",S25="Manual"),"40%",IF(AND(R25="Detectivo",S25="Automático"),"40%",IF(AND(R25="Detectivo",S25="Manual"),"30%",IF(AND(R25="Correctivo",S25="Automático"),"35%",IF(AND(R25="Correctivo",S25="Manual"),"25%",""))))))</f>
        <v>25%</v>
      </c>
      <c r="U25" s="124" t="s">
        <v>20</v>
      </c>
      <c r="V25" s="124" t="s">
        <v>22</v>
      </c>
      <c r="W25" s="124" t="s">
        <v>119</v>
      </c>
      <c r="X25" s="126">
        <f t="shared" ref="X25:X26" si="5">IFERROR(IF(Q25="Probabilidad",(I25-(+I25*T25)),IF(Q25="Impacto",I25,"")),"")</f>
        <v>0.4</v>
      </c>
      <c r="Y25" s="127" t="str">
        <f t="shared" ref="Y25:Y26" si="6">IFERROR(IF(X25="","",IF(X25&lt;=0.2,"Muy Baja",IF(X25&lt;=0.4,"Baja",IF(X25&lt;=0.6,"Media",IF(X25&lt;=0.8,"Alta","Muy Alta"))))),"")</f>
        <v>Baja</v>
      </c>
      <c r="Z25" s="128">
        <f t="shared" ref="Z25:Z26" si="7">+X25</f>
        <v>0.4</v>
      </c>
      <c r="AA25" s="127" t="str">
        <f t="shared" ref="AA25:AA26" si="8">IFERROR(IF(AB25="","",IF(AB25&lt;=0.2,"Leve",IF(AB25&lt;=0.4,"Menor",IF(AB25&lt;=0.6,"Moderado",IF(AB25&lt;=0.8,"Mayor","Catastrófico"))))),"")</f>
        <v>Menor</v>
      </c>
      <c r="AB25" s="128">
        <f t="shared" ref="AB25:AB26" si="9">IFERROR(IF(Q25="Impacto",(M25-(+M25*T25)),IF(Q25="Probabilidad",M25,"")),"")</f>
        <v>0.30000000000000004</v>
      </c>
      <c r="AC25" s="129" t="str">
        <f t="shared" ref="AC25:AC26" si="10">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Moderado</v>
      </c>
      <c r="AD25" s="130" t="s">
        <v>135</v>
      </c>
      <c r="AE25" s="147" t="s">
        <v>291</v>
      </c>
      <c r="AF25" s="131" t="s">
        <v>212</v>
      </c>
      <c r="AG25" s="147" t="s">
        <v>241</v>
      </c>
      <c r="AH25" s="132">
        <v>45870</v>
      </c>
      <c r="AI25" s="137" t="s">
        <v>401</v>
      </c>
      <c r="AJ25" s="147"/>
      <c r="AK25" s="148"/>
      <c r="AL25" s="121"/>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0" ht="262.14999999999998" customHeight="1" x14ac:dyDescent="0.3">
      <c r="A26" s="152">
        <v>7</v>
      </c>
      <c r="B26" s="155" t="s">
        <v>133</v>
      </c>
      <c r="C26" s="157" t="s">
        <v>403</v>
      </c>
      <c r="D26" s="149" t="s">
        <v>236</v>
      </c>
      <c r="E26" s="165" t="s">
        <v>404</v>
      </c>
      <c r="F26" s="157" t="s">
        <v>123</v>
      </c>
      <c r="G26" s="150">
        <v>50</v>
      </c>
      <c r="H26" s="151" t="str">
        <f t="shared" si="0"/>
        <v>Media</v>
      </c>
      <c r="I26" s="160">
        <f t="shared" si="1"/>
        <v>0.6</v>
      </c>
      <c r="J26" s="163" t="s">
        <v>148</v>
      </c>
      <c r="K26" s="160" t="str">
        <f>IF(NOT(ISERROR(MATCH(J26,_xlfn.ANCHORARRAY(E45),0))),I47&amp;"Por favor no seleccionar los criterios de impacto",J26)</f>
        <v xml:space="preserve">     Entre 100 y 500 SMLMV </v>
      </c>
      <c r="L26" s="151" t="s">
        <v>7</v>
      </c>
      <c r="M26" s="173">
        <f>IF(L26="","",IF(L26="Leve",0.2,IF(L26="Menor",0.4,IF(L26="Moderado",0.6,IF(L26="Mayor",0.8,IF(L26="Catastrófico",1,))))))</f>
        <v>0.8</v>
      </c>
      <c r="N26" s="153" t="str">
        <f t="shared" si="2"/>
        <v>Alto</v>
      </c>
      <c r="O26" s="5">
        <v>1</v>
      </c>
      <c r="P26" s="139" t="s">
        <v>405</v>
      </c>
      <c r="Q26" s="122" t="str">
        <f t="shared" si="3"/>
        <v>Impacto</v>
      </c>
      <c r="R26" s="124" t="s">
        <v>16</v>
      </c>
      <c r="S26" s="124" t="s">
        <v>9</v>
      </c>
      <c r="T26" s="125" t="str">
        <f t="shared" si="4"/>
        <v>25%</v>
      </c>
      <c r="U26" s="124" t="s">
        <v>20</v>
      </c>
      <c r="V26" s="124" t="s">
        <v>22</v>
      </c>
      <c r="W26" s="124" t="s">
        <v>120</v>
      </c>
      <c r="X26" s="126">
        <f t="shared" si="5"/>
        <v>0.6</v>
      </c>
      <c r="Y26" s="127" t="str">
        <f t="shared" si="6"/>
        <v>Media</v>
      </c>
      <c r="Z26" s="128">
        <f t="shared" si="7"/>
        <v>0.6</v>
      </c>
      <c r="AA26" s="127" t="str">
        <f t="shared" si="8"/>
        <v>Moderado</v>
      </c>
      <c r="AB26" s="128">
        <f t="shared" si="9"/>
        <v>0.60000000000000009</v>
      </c>
      <c r="AC26" s="129" t="str">
        <f t="shared" si="10"/>
        <v>Moderado</v>
      </c>
      <c r="AD26" s="130" t="s">
        <v>135</v>
      </c>
      <c r="AE26" s="147" t="s">
        <v>361</v>
      </c>
      <c r="AF26" s="131" t="s">
        <v>212</v>
      </c>
      <c r="AG26" s="147" t="s">
        <v>241</v>
      </c>
      <c r="AH26" s="132">
        <v>45870</v>
      </c>
      <c r="AI26" s="137" t="s">
        <v>401</v>
      </c>
      <c r="AJ26" s="147"/>
      <c r="AK26" s="147"/>
      <c r="AL26" s="121"/>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row>
    <row r="27" spans="1:70" ht="162.6" customHeight="1" x14ac:dyDescent="0.3">
      <c r="A27" s="152">
        <v>8</v>
      </c>
      <c r="B27" s="155" t="s">
        <v>131</v>
      </c>
      <c r="C27" s="157" t="s">
        <v>292</v>
      </c>
      <c r="D27" s="149" t="s">
        <v>239</v>
      </c>
      <c r="E27" s="165" t="s">
        <v>237</v>
      </c>
      <c r="F27" s="157" t="s">
        <v>127</v>
      </c>
      <c r="G27" s="150">
        <v>10</v>
      </c>
      <c r="H27" s="151" t="str">
        <f t="shared" si="0"/>
        <v>Baja</v>
      </c>
      <c r="I27" s="160">
        <f t="shared" si="1"/>
        <v>0.4</v>
      </c>
      <c r="J27" s="163" t="s">
        <v>150</v>
      </c>
      <c r="K27" s="160" t="str">
        <f>IF(NOT(ISERROR(MATCH(J27,_xlfn.ANCHORARRAY(E46),0))),I48&amp;"Por favor no seleccionar los criterios de impacto",J27)</f>
        <v xml:space="preserve">     El riesgo afecta la imagen de alguna área de la organización</v>
      </c>
      <c r="L27" s="151" t="s">
        <v>84</v>
      </c>
      <c r="M27" s="173">
        <f>IF(L27="","",IF(L27="Leve",0.2,IF(L27="Menor",0.4,IF(L27="Moderado",0.6,IF(L27="Mayor",0.8,IF(L27="Catastrófico",1,))))))</f>
        <v>0.4</v>
      </c>
      <c r="N27" s="153" t="str">
        <f t="shared" si="2"/>
        <v>Moderado</v>
      </c>
      <c r="O27" s="5">
        <v>1</v>
      </c>
      <c r="P27" s="139" t="s">
        <v>294</v>
      </c>
      <c r="Q27" s="122" t="str">
        <f t="shared" ref="Q27:Q30" si="11">IF(OR(R27="Preventivo",R27="Detectivo"),"Probabilidad",IF(R27="Correctivo","Impacto",""))</f>
        <v>Impacto</v>
      </c>
      <c r="R27" s="124" t="s">
        <v>16</v>
      </c>
      <c r="S27" s="124" t="s">
        <v>9</v>
      </c>
      <c r="T27" s="125" t="str">
        <f t="shared" ref="T27:T30" si="12">IF(AND(R27="Preventivo",S27="Automático"),"50%",IF(AND(R27="Preventivo",S27="Manual"),"40%",IF(AND(R27="Detectivo",S27="Automático"),"40%",IF(AND(R27="Detectivo",S27="Manual"),"30%",IF(AND(R27="Correctivo",S27="Automático"),"35%",IF(AND(R27="Correctivo",S27="Manual"),"25%",""))))))</f>
        <v>25%</v>
      </c>
      <c r="U27" s="124" t="s">
        <v>20</v>
      </c>
      <c r="V27" s="124" t="s">
        <v>22</v>
      </c>
      <c r="W27" s="124" t="s">
        <v>119</v>
      </c>
      <c r="X27" s="126">
        <f t="shared" ref="X27" si="13">IFERROR(IF(Q27="Probabilidad",(I27-(+I27*T27)),IF(Q27="Impacto",I27,"")),"")</f>
        <v>0.4</v>
      </c>
      <c r="Y27" s="127" t="str">
        <f t="shared" ref="Y27:Y30" si="14">IFERROR(IF(X27="","",IF(X27&lt;=0.2,"Muy Baja",IF(X27&lt;=0.4,"Baja",IF(X27&lt;=0.6,"Media",IF(X27&lt;=0.8,"Alta","Muy Alta"))))),"")</f>
        <v>Baja</v>
      </c>
      <c r="Z27" s="128">
        <f t="shared" ref="Z27:Z30" si="15">+X27</f>
        <v>0.4</v>
      </c>
      <c r="AA27" s="127" t="str">
        <f t="shared" ref="AA27:AA30" si="16">IFERROR(IF(AB27="","",IF(AB27&lt;=0.2,"Leve",IF(AB27&lt;=0.4,"Menor",IF(AB27&lt;=0.6,"Moderado",IF(AB27&lt;=0.8,"Mayor","Catastrófico"))))),"")</f>
        <v>Menor</v>
      </c>
      <c r="AB27" s="128">
        <f t="shared" ref="AB27:AB30" si="17">IFERROR(IF(Q27="Impacto",(M27-(+M27*T27)),IF(Q27="Probabilidad",M27,"")),"")</f>
        <v>0.30000000000000004</v>
      </c>
      <c r="AC27" s="129" t="str">
        <f t="shared" ref="AC27:AC30" si="18">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Moderado</v>
      </c>
      <c r="AD27" s="130" t="s">
        <v>135</v>
      </c>
      <c r="AE27" s="147" t="s">
        <v>293</v>
      </c>
      <c r="AF27" s="131" t="s">
        <v>212</v>
      </c>
      <c r="AG27" s="147" t="s">
        <v>241</v>
      </c>
      <c r="AH27" s="132">
        <v>45870</v>
      </c>
      <c r="AI27" s="137" t="s">
        <v>401</v>
      </c>
      <c r="AJ27" s="147"/>
      <c r="AK27" s="147"/>
      <c r="AL27" s="121"/>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0" ht="89.25" x14ac:dyDescent="0.3">
      <c r="A28" s="152">
        <v>9</v>
      </c>
      <c r="B28" s="156" t="s">
        <v>131</v>
      </c>
      <c r="C28" s="158" t="s">
        <v>295</v>
      </c>
      <c r="D28" s="178" t="s">
        <v>406</v>
      </c>
      <c r="E28" s="165" t="s">
        <v>407</v>
      </c>
      <c r="F28" s="158" t="s">
        <v>123</v>
      </c>
      <c r="G28" s="150">
        <v>25</v>
      </c>
      <c r="H28" s="151" t="str">
        <f t="shared" si="0"/>
        <v>Media</v>
      </c>
      <c r="I28" s="160">
        <f t="shared" si="1"/>
        <v>0.6</v>
      </c>
      <c r="J28" s="163" t="s">
        <v>152</v>
      </c>
      <c r="K28" s="160" t="str">
        <f>IF(NOT(ISERROR(MATCH(J28,_xlfn.ANCHORARRAY(E47),0))),I49&amp;"Por favor no seleccionar los criterios de impacto",J28)</f>
        <v xml:space="preserve">     El riesgo afecta la imagen de la entidad con algunos usuarios de relevancia frente al logro de los objetivos</v>
      </c>
      <c r="L28" s="151" t="s">
        <v>81</v>
      </c>
      <c r="M28" s="154">
        <f t="shared" ref="M28:M30" si="19">IF(L28="","",IF(L28="Leve",0.2,IF(L28="Menor",0.4,IF(L28="Moderado",0.6,IF(L28="Mayor",0.8,IF(L28="Catastrófico",1,))))))</f>
        <v>0.6</v>
      </c>
      <c r="N28" s="153" t="str">
        <f t="shared" si="2"/>
        <v>Moderado</v>
      </c>
      <c r="O28" s="5">
        <v>1</v>
      </c>
      <c r="P28" s="139" t="s">
        <v>296</v>
      </c>
      <c r="Q28" s="122" t="str">
        <f t="shared" si="11"/>
        <v>Impacto</v>
      </c>
      <c r="R28" s="124" t="s">
        <v>16</v>
      </c>
      <c r="S28" s="124" t="s">
        <v>9</v>
      </c>
      <c r="T28" s="125" t="str">
        <f t="shared" si="12"/>
        <v>25%</v>
      </c>
      <c r="U28" s="124" t="s">
        <v>20</v>
      </c>
      <c r="V28" s="124" t="s">
        <v>22</v>
      </c>
      <c r="W28" s="124" t="s">
        <v>120</v>
      </c>
      <c r="X28" s="126">
        <f t="shared" ref="X28:X30" si="20">IFERROR(IF(Q28="Probabilidad",(I28-(+I28*T28)),IF(Q28="Impacto",I28,"")),"")</f>
        <v>0.6</v>
      </c>
      <c r="Y28" s="127" t="str">
        <f t="shared" si="14"/>
        <v>Media</v>
      </c>
      <c r="Z28" s="128">
        <f t="shared" si="15"/>
        <v>0.6</v>
      </c>
      <c r="AA28" s="127" t="str">
        <f t="shared" si="16"/>
        <v>Moderado</v>
      </c>
      <c r="AB28" s="128">
        <f t="shared" si="17"/>
        <v>0.44999999999999996</v>
      </c>
      <c r="AC28" s="129" t="str">
        <f t="shared" si="18"/>
        <v>Moderado</v>
      </c>
      <c r="AD28" s="130" t="s">
        <v>135</v>
      </c>
      <c r="AE28" s="147" t="s">
        <v>362</v>
      </c>
      <c r="AF28" s="131" t="s">
        <v>212</v>
      </c>
      <c r="AG28" s="147" t="s">
        <v>241</v>
      </c>
      <c r="AH28" s="132">
        <v>45870</v>
      </c>
      <c r="AI28" s="137" t="s">
        <v>401</v>
      </c>
      <c r="AJ28" s="147"/>
      <c r="AK28" s="147"/>
      <c r="AL28" s="121"/>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row>
    <row r="29" spans="1:70" ht="145.15" customHeight="1" x14ac:dyDescent="0.3">
      <c r="A29" s="152">
        <v>10</v>
      </c>
      <c r="B29" s="164" t="s">
        <v>131</v>
      </c>
      <c r="C29" s="161" t="s">
        <v>297</v>
      </c>
      <c r="D29" s="149" t="s">
        <v>240</v>
      </c>
      <c r="E29" s="165" t="s">
        <v>238</v>
      </c>
      <c r="F29" s="161" t="s">
        <v>123</v>
      </c>
      <c r="G29" s="150">
        <v>28</v>
      </c>
      <c r="H29" s="151" t="str">
        <f t="shared" si="0"/>
        <v>Media</v>
      </c>
      <c r="I29" s="160">
        <f t="shared" si="1"/>
        <v>0.6</v>
      </c>
      <c r="J29" s="162" t="s">
        <v>150</v>
      </c>
      <c r="K29" s="159" t="s">
        <v>334</v>
      </c>
      <c r="L29" s="151" t="s">
        <v>81</v>
      </c>
      <c r="M29" s="154">
        <f t="shared" si="19"/>
        <v>0.6</v>
      </c>
      <c r="N29" s="153" t="str">
        <f t="shared" ref="N29:N35" si="21">IF(OR(AND(H29="Muy Baja",L29="Leve"),AND(H29="Muy Baja",L29="Menor"),AND(H29="Baja",L29="Leve")),"Bajo",IF(OR(AND(H29="Muy baja",L29="Moderado"),AND(H29="Baja",L29="Menor"),AND(H29="Baja",L29="Moderado"),AND(H29="Media",L29="Leve"),AND(H29="Media",L29="Menor"),AND(H29="Media",L29="Moderado"),AND(H29="Alta",L29="Leve"),AND(H29="Alta",L29="Menor")),"Moderado",IF(OR(AND(H29="Muy Baja",L29="Mayor"),AND(H29="Baja",L29="Mayor"),AND(H29="Media",L29="Mayor"),AND(H29="Alta",L29="Moderado"),AND(H29="Alta",L29="Mayor"),AND(H29="Muy Alta",L29="Leve"),AND(H29="Muy Alta",L29="Menor"),AND(H29="Muy Alta",L29="Moderado"),AND(H29="Muy Alta",L29="Mayor")),"Alto",IF(OR(AND(H29="Muy Baja",L29="Catastrófico"),AND(H29="Baja",L29="Catastrófico"),AND(H29="Media",L29="Catastrófico"),AND(H29="Alta",L29="Catastrófico"),AND(H29="Muy Alta",L29="Catastrófico")),"Extremo",""))))</f>
        <v>Moderado</v>
      </c>
      <c r="O29" s="5">
        <v>1</v>
      </c>
      <c r="P29" s="139" t="s">
        <v>298</v>
      </c>
      <c r="Q29" s="122" t="str">
        <f t="shared" si="11"/>
        <v>Impacto</v>
      </c>
      <c r="R29" s="124" t="s">
        <v>16</v>
      </c>
      <c r="S29" s="124" t="s">
        <v>9</v>
      </c>
      <c r="T29" s="125" t="str">
        <f t="shared" si="12"/>
        <v>25%</v>
      </c>
      <c r="U29" s="124" t="s">
        <v>20</v>
      </c>
      <c r="V29" s="124" t="s">
        <v>22</v>
      </c>
      <c r="W29" s="124" t="s">
        <v>120</v>
      </c>
      <c r="X29" s="126">
        <f t="shared" si="20"/>
        <v>0.6</v>
      </c>
      <c r="Y29" s="127" t="str">
        <f t="shared" si="14"/>
        <v>Media</v>
      </c>
      <c r="Z29" s="128">
        <f t="shared" si="15"/>
        <v>0.6</v>
      </c>
      <c r="AA29" s="127" t="str">
        <f t="shared" si="16"/>
        <v>Moderado</v>
      </c>
      <c r="AB29" s="128">
        <f t="shared" si="17"/>
        <v>0.44999999999999996</v>
      </c>
      <c r="AC29" s="129" t="str">
        <f t="shared" si="18"/>
        <v>Moderado</v>
      </c>
      <c r="AD29" s="130" t="s">
        <v>135</v>
      </c>
      <c r="AE29" s="147" t="s">
        <v>363</v>
      </c>
      <c r="AF29" s="131" t="s">
        <v>212</v>
      </c>
      <c r="AG29" s="147" t="s">
        <v>241</v>
      </c>
      <c r="AH29" s="132">
        <v>45870</v>
      </c>
      <c r="AI29" s="137" t="s">
        <v>401</v>
      </c>
      <c r="AJ29" s="147"/>
      <c r="AK29" s="147"/>
      <c r="AL29" s="121"/>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row>
    <row r="30" spans="1:70" ht="145.15" customHeight="1" x14ac:dyDescent="0.3">
      <c r="A30" s="152">
        <v>11</v>
      </c>
      <c r="B30" s="155" t="s">
        <v>133</v>
      </c>
      <c r="C30" s="157" t="s">
        <v>408</v>
      </c>
      <c r="D30" s="178" t="s">
        <v>409</v>
      </c>
      <c r="E30" s="165" t="s">
        <v>364</v>
      </c>
      <c r="F30" s="157" t="s">
        <v>123</v>
      </c>
      <c r="G30" s="225">
        <v>15</v>
      </c>
      <c r="H30" s="151" t="str">
        <f t="shared" si="0"/>
        <v>Baja</v>
      </c>
      <c r="I30" s="160">
        <f t="shared" si="1"/>
        <v>0.4</v>
      </c>
      <c r="J30" s="162" t="s">
        <v>150</v>
      </c>
      <c r="K30" s="159" t="s">
        <v>334</v>
      </c>
      <c r="L30" s="151" t="s">
        <v>81</v>
      </c>
      <c r="M30" s="154">
        <f t="shared" si="19"/>
        <v>0.6</v>
      </c>
      <c r="N30" s="153" t="str">
        <f t="shared" si="21"/>
        <v>Moderado</v>
      </c>
      <c r="O30" s="5">
        <v>1</v>
      </c>
      <c r="P30" s="139" t="s">
        <v>365</v>
      </c>
      <c r="Q30" s="122" t="str">
        <f t="shared" si="11"/>
        <v>Impacto</v>
      </c>
      <c r="R30" s="124" t="s">
        <v>16</v>
      </c>
      <c r="S30" s="124" t="s">
        <v>9</v>
      </c>
      <c r="T30" s="125" t="str">
        <f t="shared" si="12"/>
        <v>25%</v>
      </c>
      <c r="U30" s="124" t="s">
        <v>20</v>
      </c>
      <c r="V30" s="124" t="s">
        <v>22</v>
      </c>
      <c r="W30" s="124" t="s">
        <v>120</v>
      </c>
      <c r="X30" s="126">
        <f t="shared" si="20"/>
        <v>0.4</v>
      </c>
      <c r="Y30" s="127" t="str">
        <f t="shared" si="14"/>
        <v>Baja</v>
      </c>
      <c r="Z30" s="128">
        <f t="shared" si="15"/>
        <v>0.4</v>
      </c>
      <c r="AA30" s="127" t="str">
        <f t="shared" si="16"/>
        <v>Moderado</v>
      </c>
      <c r="AB30" s="128">
        <f t="shared" si="17"/>
        <v>0.44999999999999996</v>
      </c>
      <c r="AC30" s="129" t="str">
        <f t="shared" si="18"/>
        <v>Moderado</v>
      </c>
      <c r="AD30" s="130" t="s">
        <v>135</v>
      </c>
      <c r="AE30" s="147" t="s">
        <v>366</v>
      </c>
      <c r="AF30" s="131" t="s">
        <v>212</v>
      </c>
      <c r="AG30" s="147" t="s">
        <v>241</v>
      </c>
      <c r="AH30" s="132">
        <v>45870</v>
      </c>
      <c r="AI30" s="137" t="s">
        <v>401</v>
      </c>
      <c r="AJ30" s="185"/>
      <c r="AK30" s="147"/>
      <c r="AL30" s="121"/>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row>
    <row r="31" spans="1:70" ht="109.9" customHeight="1" x14ac:dyDescent="0.3">
      <c r="A31" s="283">
        <v>12</v>
      </c>
      <c r="B31" s="281" t="s">
        <v>133</v>
      </c>
      <c r="C31" s="310" t="s">
        <v>300</v>
      </c>
      <c r="D31" s="280" t="s">
        <v>245</v>
      </c>
      <c r="E31" s="286" t="s">
        <v>299</v>
      </c>
      <c r="F31" s="310" t="s">
        <v>128</v>
      </c>
      <c r="G31" s="289">
        <v>10</v>
      </c>
      <c r="H31" s="292" t="str">
        <f t="shared" si="0"/>
        <v>Baja</v>
      </c>
      <c r="I31" s="349">
        <f t="shared" si="1"/>
        <v>0.4</v>
      </c>
      <c r="J31" s="350" t="s">
        <v>57</v>
      </c>
      <c r="K31" s="349" t="s">
        <v>367</v>
      </c>
      <c r="L31" s="292" t="s">
        <v>335</v>
      </c>
      <c r="M31" s="265">
        <f>IF(L31="","",IF(L31="Leve",0.2,IF(L31="Menor",0.4,IF(L31="Moderado",0.6,IF(L31="Mayor",0.8,IF(L31="Catastrófico",1,))))))</f>
        <v>0.8</v>
      </c>
      <c r="N31" s="297" t="str">
        <f t="shared" si="21"/>
        <v>Alto</v>
      </c>
      <c r="O31" s="283">
        <v>1</v>
      </c>
      <c r="P31" s="351" t="s">
        <v>301</v>
      </c>
      <c r="Q31" s="303" t="str">
        <f>IF(OR(R31="Preventivo",R31="Detectivo"),"Probabilidad",IF(R31="Correctivo","Impacto",""))</f>
        <v>Probabilidad</v>
      </c>
      <c r="R31" s="277" t="s">
        <v>14</v>
      </c>
      <c r="S31" s="277" t="s">
        <v>9</v>
      </c>
      <c r="T31" s="271" t="str">
        <f>IF(AND(R31="Preventivo",S31="Automático"),"50%",IF(AND(R31="Preventivo",S31="Manual"),"40%",IF(AND(R31="Detectivo",S31="Automático"),"40%",IF(AND(R31="Detectivo",S31="Manual"),"30%",IF(AND(R31="Correctivo",S31="Automático"),"35%",IF(AND(R31="Correctivo",S31="Manual"),"25%",""))))))</f>
        <v>40%</v>
      </c>
      <c r="U31" s="277" t="s">
        <v>19</v>
      </c>
      <c r="V31" s="277" t="s">
        <v>22</v>
      </c>
      <c r="W31" s="277" t="s">
        <v>119</v>
      </c>
      <c r="X31" s="306">
        <f>IFERROR(IF(Q31="Probabilidad",(I31-(+I31*T31)),IF(Q31="Impacto",I31,"")),"")</f>
        <v>0.24</v>
      </c>
      <c r="Y31" s="268" t="str">
        <f>IFERROR(IF(X31="","",IF(X31&lt;=0.2,"Muy Baja",IF(X31&lt;=0.4,"Baja",IF(X31&lt;=0.6,"Media",IF(X31&lt;=0.8,"Alta","Muy Alta"))))),"")</f>
        <v>Baja</v>
      </c>
      <c r="Z31" s="271">
        <f>+X31</f>
        <v>0.24</v>
      </c>
      <c r="AA31" s="268" t="str">
        <f>IFERROR(IF(AB31="","",IF(AB31&lt;=0.2,"Leve",IF(AB31&lt;=0.4,"Menor",IF(AB31&lt;=0.6,"Moderado",IF(AB31&lt;=0.8,"Mayor","Catastrófico"))))),"")</f>
        <v>Mayor</v>
      </c>
      <c r="AB31" s="271">
        <f>IFERROR(IF(Q31="Impacto",(M31-(+M31*T31)),IF(Q31="Probabilidad",M31,"")),"")</f>
        <v>0.8</v>
      </c>
      <c r="AC31" s="274"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Alto</v>
      </c>
      <c r="AD31" s="277" t="s">
        <v>135</v>
      </c>
      <c r="AE31" s="147" t="s">
        <v>368</v>
      </c>
      <c r="AF31" s="131" t="s">
        <v>212</v>
      </c>
      <c r="AG31" s="147" t="s">
        <v>248</v>
      </c>
      <c r="AH31" s="132">
        <v>46003</v>
      </c>
      <c r="AI31" s="137" t="s">
        <v>401</v>
      </c>
      <c r="AJ31" s="185"/>
      <c r="AK31" s="147"/>
      <c r="AL31" s="121"/>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0" ht="109.9" customHeight="1" x14ac:dyDescent="0.3">
      <c r="A32" s="285"/>
      <c r="B32" s="281"/>
      <c r="C32" s="310"/>
      <c r="D32" s="282"/>
      <c r="E32" s="288"/>
      <c r="F32" s="310"/>
      <c r="G32" s="291"/>
      <c r="H32" s="294"/>
      <c r="I32" s="349"/>
      <c r="J32" s="350"/>
      <c r="K32" s="349"/>
      <c r="L32" s="294"/>
      <c r="M32" s="267"/>
      <c r="N32" s="299"/>
      <c r="O32" s="285"/>
      <c r="P32" s="352"/>
      <c r="Q32" s="305"/>
      <c r="R32" s="279"/>
      <c r="S32" s="279"/>
      <c r="T32" s="273"/>
      <c r="U32" s="279"/>
      <c r="V32" s="279"/>
      <c r="W32" s="279"/>
      <c r="X32" s="308"/>
      <c r="Y32" s="270"/>
      <c r="Z32" s="273"/>
      <c r="AA32" s="270"/>
      <c r="AB32" s="273"/>
      <c r="AC32" s="276"/>
      <c r="AD32" s="279"/>
      <c r="AE32" s="147" t="s">
        <v>369</v>
      </c>
      <c r="AF32" s="131" t="s">
        <v>212</v>
      </c>
      <c r="AG32" s="147" t="s">
        <v>248</v>
      </c>
      <c r="AH32" s="132">
        <v>46003</v>
      </c>
      <c r="AI32" s="137" t="s">
        <v>401</v>
      </c>
      <c r="AJ32" s="138"/>
      <c r="AK32" s="147"/>
      <c r="AL32" s="121" t="s">
        <v>41</v>
      </c>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row>
    <row r="33" spans="1:70" ht="124.15" customHeight="1" x14ac:dyDescent="0.3">
      <c r="A33" s="283">
        <v>13</v>
      </c>
      <c r="B33" s="281" t="s">
        <v>133</v>
      </c>
      <c r="C33" s="310" t="s">
        <v>303</v>
      </c>
      <c r="D33" s="280" t="s">
        <v>246</v>
      </c>
      <c r="E33" s="286" t="s">
        <v>302</v>
      </c>
      <c r="F33" s="310" t="s">
        <v>125</v>
      </c>
      <c r="G33" s="289">
        <v>12</v>
      </c>
      <c r="H33" s="292" t="str">
        <f t="shared" ref="H33:H35" si="22">IF(G33&lt;=0,"",IF(G33&lt;=2,"Muy Baja",IF(G33&lt;=24,"Baja",IF(G33&lt;=500,"Media",IF(G33&lt;=5000,"Alta","Muy Alta")))))</f>
        <v>Baja</v>
      </c>
      <c r="I33" s="349">
        <f>IF(H33="","",IF(H33="Muy Baja",0.2,IF(H33="Baja",0.4,IF(H33="Media",0.6,IF(H33="Alta",0.8,IF(H33="Muy Alta",1,))))))</f>
        <v>0.4</v>
      </c>
      <c r="J33" s="350" t="s">
        <v>57</v>
      </c>
      <c r="K33" s="349" t="s">
        <v>336</v>
      </c>
      <c r="L33" s="292" t="s">
        <v>81</v>
      </c>
      <c r="M33" s="265">
        <f>IF(L33="","",IF(L33="Leve",0.2,IF(L33="Menor",0.4,IF(L33="Moderado",0.6,IF(L33="Mayor",0.8,IF(L33="Catastrófico",1,))))))</f>
        <v>0.6</v>
      </c>
      <c r="N33" s="297" t="str">
        <f t="shared" si="21"/>
        <v>Moderado</v>
      </c>
      <c r="O33" s="283">
        <v>1</v>
      </c>
      <c r="P33" s="351" t="s">
        <v>304</v>
      </c>
      <c r="Q33" s="303" t="str">
        <f t="shared" ref="Q33:Q35" si="23">IF(OR(R33="Preventivo",R33="Detectivo"),"Probabilidad",IF(R33="Correctivo","Impacto",""))</f>
        <v>Impacto</v>
      </c>
      <c r="R33" s="277" t="s">
        <v>16</v>
      </c>
      <c r="S33" s="277" t="s">
        <v>9</v>
      </c>
      <c r="T33" s="277" t="str">
        <f t="shared" ref="T33" si="24">IF(AND(R33="Preventivo",S33="Automático"),"50%",IF(AND(R33="Preventivo",S33="Manual"),"40%",IF(AND(R33="Detectivo",S33="Automático"),"40%",IF(AND(R33="Detectivo",S33="Manual"),"30%",IF(AND(R33="Correctivo",S33="Automático"),"35%",IF(AND(R33="Correctivo",S33="Manual"),"25%",""))))))</f>
        <v>25%</v>
      </c>
      <c r="U33" s="277" t="s">
        <v>20</v>
      </c>
      <c r="V33" s="277" t="s">
        <v>22</v>
      </c>
      <c r="W33" s="277" t="s">
        <v>120</v>
      </c>
      <c r="X33" s="306">
        <f>IFERROR(IF(Q33="Probabilidad",(I33-(+I33*T33)),IF(Q33="Impacto",I33,"")),"")</f>
        <v>0.4</v>
      </c>
      <c r="Y33" s="268" t="str">
        <f t="shared" ref="Y33" si="25">IFERROR(IF(X33="","",IF(X33&lt;=0.2,"Muy Baja",IF(X33&lt;=0.4,"Baja",IF(X33&lt;=0.6,"Media",IF(X33&lt;=0.8,"Alta","Muy Alta"))))),"")</f>
        <v>Baja</v>
      </c>
      <c r="Z33" s="271">
        <f t="shared" ref="Z33" si="26">+X33</f>
        <v>0.4</v>
      </c>
      <c r="AA33" s="268" t="str">
        <f t="shared" ref="AA33" si="27">IFERROR(IF(AB33="","",IF(AB33&lt;=0.2,"Leve",IF(AB33&lt;=0.4,"Menor",IF(AB33&lt;=0.6,"Moderado",IF(AB33&lt;=0.8,"Mayor","Catastrófico"))))),"")</f>
        <v>Moderado</v>
      </c>
      <c r="AB33" s="271">
        <f t="shared" ref="AB33" si="28">IFERROR(IF(Q33="Impacto",(M33-(+M33*T33)),IF(Q33="Probabilidad",M33,"")),"")</f>
        <v>0.44999999999999996</v>
      </c>
      <c r="AC33" s="274" t="str">
        <f t="shared" ref="AC33" si="29">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Moderado</v>
      </c>
      <c r="AD33" s="277" t="s">
        <v>135</v>
      </c>
      <c r="AE33" s="147" t="s">
        <v>370</v>
      </c>
      <c r="AF33" s="280" t="s">
        <v>212</v>
      </c>
      <c r="AG33" s="147" t="s">
        <v>248</v>
      </c>
      <c r="AH33" s="353">
        <v>46003</v>
      </c>
      <c r="AI33" s="137" t="s">
        <v>401</v>
      </c>
      <c r="AJ33" s="147"/>
      <c r="AK33" s="147"/>
      <c r="AL33" s="121"/>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row>
    <row r="34" spans="1:70" ht="124.15" customHeight="1" x14ac:dyDescent="0.3">
      <c r="A34" s="285"/>
      <c r="B34" s="281"/>
      <c r="C34" s="310"/>
      <c r="D34" s="282"/>
      <c r="E34" s="288"/>
      <c r="F34" s="310"/>
      <c r="G34" s="291"/>
      <c r="H34" s="294"/>
      <c r="I34" s="349"/>
      <c r="J34" s="350"/>
      <c r="K34" s="349"/>
      <c r="L34" s="294"/>
      <c r="M34" s="267"/>
      <c r="N34" s="299"/>
      <c r="O34" s="285"/>
      <c r="P34" s="352"/>
      <c r="Q34" s="305"/>
      <c r="R34" s="279"/>
      <c r="S34" s="279"/>
      <c r="T34" s="279"/>
      <c r="U34" s="279"/>
      <c r="V34" s="279"/>
      <c r="W34" s="279"/>
      <c r="X34" s="308"/>
      <c r="Y34" s="270"/>
      <c r="Z34" s="273"/>
      <c r="AA34" s="270"/>
      <c r="AB34" s="273"/>
      <c r="AC34" s="276"/>
      <c r="AD34" s="279"/>
      <c r="AE34" s="147" t="s">
        <v>371</v>
      </c>
      <c r="AF34" s="282"/>
      <c r="AG34" s="178" t="s">
        <v>248</v>
      </c>
      <c r="AH34" s="354"/>
      <c r="AI34" s="137" t="s">
        <v>401</v>
      </c>
      <c r="AJ34" s="147"/>
      <c r="AK34" s="147"/>
      <c r="AL34" s="121"/>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0" ht="82.9" customHeight="1" x14ac:dyDescent="0.3">
      <c r="A35" s="283">
        <v>14</v>
      </c>
      <c r="B35" s="281" t="s">
        <v>131</v>
      </c>
      <c r="C35" s="310" t="s">
        <v>305</v>
      </c>
      <c r="D35" s="280" t="s">
        <v>247</v>
      </c>
      <c r="E35" s="286" t="s">
        <v>242</v>
      </c>
      <c r="F35" s="310" t="s">
        <v>125</v>
      </c>
      <c r="G35" s="289">
        <v>12</v>
      </c>
      <c r="H35" s="292" t="str">
        <f t="shared" si="22"/>
        <v>Baja</v>
      </c>
      <c r="I35" s="349">
        <f>IF(H35="","",IF(H35="Muy Baja",0.2,IF(H35="Baja",0.4,IF(H35="Media",0.6,IF(H35="Alta",0.8,IF(H35="Muy Alta",1,))))))</f>
        <v>0.4</v>
      </c>
      <c r="J35" s="350" t="s">
        <v>57</v>
      </c>
      <c r="K35" s="349" t="s">
        <v>337</v>
      </c>
      <c r="L35" s="292" t="s">
        <v>335</v>
      </c>
      <c r="M35" s="265">
        <f t="shared" ref="M35" si="30">IF(L35="","",IF(L35="Leve",0.2,IF(L35="Menor",0.4,IF(L35="Moderado",0.6,IF(L35="Mayor",0.8,IF(L35="Catastrófico",1,))))))</f>
        <v>0.8</v>
      </c>
      <c r="N35" s="297" t="str">
        <f t="shared" si="21"/>
        <v>Alto</v>
      </c>
      <c r="O35" s="283">
        <v>1</v>
      </c>
      <c r="P35" s="351" t="s">
        <v>306</v>
      </c>
      <c r="Q35" s="303" t="str">
        <f t="shared" si="23"/>
        <v>Probabilidad</v>
      </c>
      <c r="R35" s="277" t="s">
        <v>14</v>
      </c>
      <c r="S35" s="277" t="s">
        <v>9</v>
      </c>
      <c r="T35" s="277" t="str">
        <f t="shared" ref="T35" si="31">IF(AND(R35="Preventivo",S35="Automático"),"50%",IF(AND(R35="Preventivo",S35="Manual"),"40%",IF(AND(R35="Detectivo",S35="Automático"),"40%",IF(AND(R35="Detectivo",S35="Manual"),"30%",IF(AND(R35="Correctivo",S35="Automático"),"35%",IF(AND(R35="Correctivo",S35="Manual"),"25%",""))))))</f>
        <v>40%</v>
      </c>
      <c r="U35" s="277" t="s">
        <v>19</v>
      </c>
      <c r="V35" s="277" t="s">
        <v>22</v>
      </c>
      <c r="W35" s="277" t="s">
        <v>119</v>
      </c>
      <c r="X35" s="306">
        <f t="shared" ref="X35" si="32">IFERROR(IF(Q35="Probabilidad",(I35-(+I35*T35)),IF(Q35="Impacto",I35,"")),"")</f>
        <v>0.24</v>
      </c>
      <c r="Y35" s="268" t="str">
        <f t="shared" ref="Y35" si="33">IFERROR(IF(X35="","",IF(X35&lt;=0.2,"Muy Baja",IF(X35&lt;=0.4,"Baja",IF(X35&lt;=0.6,"Media",IF(X35&lt;=0.8,"Alta","Muy Alta"))))),"")</f>
        <v>Baja</v>
      </c>
      <c r="Z35" s="271">
        <f t="shared" ref="Z35" si="34">+X35</f>
        <v>0.24</v>
      </c>
      <c r="AA35" s="268" t="str">
        <f t="shared" ref="AA35" si="35">IFERROR(IF(AB35="","",IF(AB35&lt;=0.2,"Leve",IF(AB35&lt;=0.4,"Menor",IF(AB35&lt;=0.6,"Moderado",IF(AB35&lt;=0.8,"Mayor","Catastrófico"))))),"")</f>
        <v>Mayor</v>
      </c>
      <c r="AB35" s="271">
        <f t="shared" ref="AB35" si="36">IFERROR(IF(Q35="Impacto",(M35-(+M35*T35)),IF(Q35="Probabilidad",M35,"")),"")</f>
        <v>0.8</v>
      </c>
      <c r="AC35" s="274" t="str">
        <f t="shared" ref="AC35" si="37">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Alto</v>
      </c>
      <c r="AD35" s="277" t="s">
        <v>135</v>
      </c>
      <c r="AE35" s="186" t="s">
        <v>372</v>
      </c>
      <c r="AF35" s="280" t="s">
        <v>212</v>
      </c>
      <c r="AG35" s="147" t="s">
        <v>248</v>
      </c>
      <c r="AH35" s="353">
        <v>46003</v>
      </c>
      <c r="AI35" s="137" t="s">
        <v>401</v>
      </c>
      <c r="AJ35" s="303"/>
      <c r="AK35" s="277"/>
      <c r="AL35" s="277"/>
      <c r="AM35" s="277"/>
      <c r="AN35" s="277"/>
      <c r="AO35" s="277"/>
      <c r="AP35" s="277"/>
      <c r="AQ35" s="306"/>
      <c r="AR35" s="268"/>
      <c r="AS35" s="271"/>
      <c r="AT35" s="268"/>
      <c r="AU35" s="271"/>
      <c r="AV35" s="274"/>
      <c r="AW35" s="277"/>
      <c r="AX35" s="6"/>
      <c r="AY35" s="6"/>
      <c r="AZ35" s="6"/>
      <c r="BA35" s="6"/>
      <c r="BB35" s="6"/>
      <c r="BC35" s="6"/>
      <c r="BD35" s="6"/>
      <c r="BE35" s="6"/>
      <c r="BF35" s="6"/>
      <c r="BG35" s="6"/>
      <c r="BH35" s="6"/>
      <c r="BI35" s="6"/>
      <c r="BJ35" s="6"/>
      <c r="BK35" s="6"/>
      <c r="BL35" s="6"/>
      <c r="BM35" s="6"/>
      <c r="BN35" s="6"/>
      <c r="BO35" s="6"/>
      <c r="BP35" s="6"/>
      <c r="BQ35" s="6"/>
      <c r="BR35" s="6"/>
    </row>
    <row r="36" spans="1:70" ht="82.9" customHeight="1" x14ac:dyDescent="0.3">
      <c r="A36" s="284"/>
      <c r="B36" s="281"/>
      <c r="C36" s="310"/>
      <c r="D36" s="281"/>
      <c r="E36" s="287"/>
      <c r="F36" s="310"/>
      <c r="G36" s="290"/>
      <c r="H36" s="293"/>
      <c r="I36" s="349"/>
      <c r="J36" s="350"/>
      <c r="K36" s="349"/>
      <c r="L36" s="293"/>
      <c r="M36" s="266"/>
      <c r="N36" s="298"/>
      <c r="O36" s="284"/>
      <c r="P36" s="355"/>
      <c r="Q36" s="304"/>
      <c r="R36" s="278"/>
      <c r="S36" s="278"/>
      <c r="T36" s="278"/>
      <c r="U36" s="278"/>
      <c r="V36" s="278"/>
      <c r="W36" s="278"/>
      <c r="X36" s="307"/>
      <c r="Y36" s="269"/>
      <c r="Z36" s="272"/>
      <c r="AA36" s="269"/>
      <c r="AB36" s="272"/>
      <c r="AC36" s="275"/>
      <c r="AD36" s="278"/>
      <c r="AE36" s="187" t="s">
        <v>373</v>
      </c>
      <c r="AF36" s="281"/>
      <c r="AG36" s="147" t="s">
        <v>248</v>
      </c>
      <c r="AH36" s="356"/>
      <c r="AI36" s="137" t="s">
        <v>401</v>
      </c>
      <c r="AJ36" s="304"/>
      <c r="AK36" s="278"/>
      <c r="AL36" s="278"/>
      <c r="AM36" s="278"/>
      <c r="AN36" s="278"/>
      <c r="AO36" s="278"/>
      <c r="AP36" s="278"/>
      <c r="AQ36" s="307"/>
      <c r="AR36" s="269"/>
      <c r="AS36" s="272"/>
      <c r="AT36" s="269"/>
      <c r="AU36" s="272"/>
      <c r="AV36" s="275"/>
      <c r="AW36" s="278"/>
      <c r="AX36" s="6"/>
      <c r="AY36" s="6"/>
      <c r="AZ36" s="6"/>
      <c r="BA36" s="6"/>
      <c r="BB36" s="6"/>
      <c r="BC36" s="6"/>
      <c r="BD36" s="6"/>
      <c r="BE36" s="6"/>
      <c r="BF36" s="6"/>
      <c r="BG36" s="6"/>
      <c r="BH36" s="6"/>
      <c r="BI36" s="6"/>
      <c r="BJ36" s="6"/>
      <c r="BK36" s="6"/>
      <c r="BL36" s="6"/>
      <c r="BM36" s="6"/>
      <c r="BN36" s="6"/>
      <c r="BO36" s="6"/>
      <c r="BP36" s="6"/>
      <c r="BQ36" s="6"/>
      <c r="BR36" s="6"/>
    </row>
    <row r="37" spans="1:70" ht="82.9" customHeight="1" x14ac:dyDescent="0.3">
      <c r="A37" s="285"/>
      <c r="B37" s="281"/>
      <c r="C37" s="310"/>
      <c r="D37" s="282"/>
      <c r="E37" s="288"/>
      <c r="F37" s="310"/>
      <c r="G37" s="291"/>
      <c r="H37" s="294"/>
      <c r="I37" s="349"/>
      <c r="J37" s="350"/>
      <c r="K37" s="349"/>
      <c r="L37" s="294"/>
      <c r="M37" s="267"/>
      <c r="N37" s="299"/>
      <c r="O37" s="285"/>
      <c r="P37" s="352"/>
      <c r="Q37" s="305"/>
      <c r="R37" s="279"/>
      <c r="S37" s="279"/>
      <c r="T37" s="279"/>
      <c r="U37" s="279"/>
      <c r="V37" s="279"/>
      <c r="W37" s="279"/>
      <c r="X37" s="308"/>
      <c r="Y37" s="270"/>
      <c r="Z37" s="273"/>
      <c r="AA37" s="270"/>
      <c r="AB37" s="273"/>
      <c r="AC37" s="276"/>
      <c r="AD37" s="279"/>
      <c r="AE37" s="188" t="s">
        <v>374</v>
      </c>
      <c r="AF37" s="282"/>
      <c r="AG37" s="178" t="s">
        <v>248</v>
      </c>
      <c r="AH37" s="354"/>
      <c r="AI37" s="137" t="s">
        <v>401</v>
      </c>
      <c r="AJ37" s="305"/>
      <c r="AK37" s="279"/>
      <c r="AL37" s="279"/>
      <c r="AM37" s="279"/>
      <c r="AN37" s="279"/>
      <c r="AO37" s="279"/>
      <c r="AP37" s="279"/>
      <c r="AQ37" s="308"/>
      <c r="AR37" s="270"/>
      <c r="AS37" s="273"/>
      <c r="AT37" s="270"/>
      <c r="AU37" s="273"/>
      <c r="AV37" s="276"/>
      <c r="AW37" s="279"/>
      <c r="AX37" s="6"/>
      <c r="AY37" s="6"/>
      <c r="AZ37" s="6"/>
      <c r="BA37" s="6"/>
      <c r="BB37" s="6"/>
      <c r="BC37" s="6"/>
      <c r="BD37" s="6"/>
      <c r="BE37" s="6"/>
      <c r="BF37" s="6"/>
      <c r="BG37" s="6"/>
      <c r="BH37" s="6"/>
      <c r="BI37" s="6"/>
      <c r="BJ37" s="6"/>
      <c r="BK37" s="6"/>
      <c r="BL37" s="6"/>
      <c r="BM37" s="6"/>
      <c r="BN37" s="6"/>
      <c r="BO37" s="6"/>
      <c r="BP37" s="6"/>
      <c r="BQ37" s="6"/>
      <c r="BR37" s="6"/>
    </row>
    <row r="38" spans="1:70" ht="135" customHeight="1" x14ac:dyDescent="0.3">
      <c r="A38" s="283">
        <v>15</v>
      </c>
      <c r="B38" s="281" t="s">
        <v>133</v>
      </c>
      <c r="C38" s="310" t="s">
        <v>307</v>
      </c>
      <c r="D38" s="280" t="s">
        <v>375</v>
      </c>
      <c r="E38" s="286" t="s">
        <v>243</v>
      </c>
      <c r="F38" s="310" t="s">
        <v>128</v>
      </c>
      <c r="G38" s="289">
        <v>15000</v>
      </c>
      <c r="H38" s="292" t="str">
        <f t="shared" ref="H38" si="38">IF(G38&lt;=0,"",IF(G38&lt;=2,"Muy Baja",IF(G38&lt;=24,"Baja",IF(G38&lt;=500,"Media",IF(G38&lt;=5000,"Alta","Muy Alta")))))</f>
        <v>Muy Alta</v>
      </c>
      <c r="I38" s="349">
        <f>IF(H38="","",IF(H38="Muy Baja",0.2,IF(H38="Baja",0.4,IF(H38="Media",0.6,IF(H38="Alta",0.8,IF(H38="Muy Alta",1,))))))</f>
        <v>1</v>
      </c>
      <c r="J38" s="350" t="s">
        <v>90</v>
      </c>
      <c r="K38" s="349" t="s">
        <v>338</v>
      </c>
      <c r="L38" s="292" t="s">
        <v>335</v>
      </c>
      <c r="M38" s="265">
        <f t="shared" ref="M38" si="39">IF(L38="","",IF(L38="Leve",0.2,IF(L38="Menor",0.4,IF(L38="Moderado",0.6,IF(L38="Mayor",0.8,IF(L38="Catastrófico",1,))))))</f>
        <v>0.8</v>
      </c>
      <c r="N38" s="297" t="str">
        <f t="shared" ref="N38:N41" si="40">IF(OR(AND(H38="Muy Baja",L38="Leve"),AND(H38="Muy Baja",L38="Menor"),AND(H38="Baja",L38="Leve")),"Bajo",IF(OR(AND(H38="Muy baja",L38="Moderado"),AND(H38="Baja",L38="Menor"),AND(H38="Baja",L38="Moderado"),AND(H38="Media",L38="Leve"),AND(H38="Media",L38="Menor"),AND(H38="Media",L38="Moderado"),AND(H38="Alta",L38="Leve"),AND(H38="Alta",L38="Menor")),"Moderado",IF(OR(AND(H38="Muy Baja",L38="Mayor"),AND(H38="Baja",L38="Mayor"),AND(H38="Media",L38="Mayor"),AND(H38="Alta",L38="Moderado"),AND(H38="Alta",L38="Mayor"),AND(H38="Muy Alta",L38="Leve"),AND(H38="Muy Alta",L38="Menor"),AND(H38="Muy Alta",L38="Moderado"),AND(H38="Muy Alta",L38="Mayor")),"Alto",IF(OR(AND(H38="Muy Baja",L38="Catastrófico"),AND(H38="Baja",L38="Catastrófico"),AND(H38="Media",L38="Catastrófico"),AND(H38="Alta",L38="Catastrófico"),AND(H38="Muy Alta",L38="Catastrófico")),"Extremo",""))))</f>
        <v>Alto</v>
      </c>
      <c r="O38" s="283">
        <v>1</v>
      </c>
      <c r="P38" s="351" t="s">
        <v>308</v>
      </c>
      <c r="Q38" s="303" t="str">
        <f t="shared" ref="Q38" si="41">IF(OR(R38="Preventivo",R38="Detectivo"),"Probabilidad",IF(R38="Correctivo","Impacto",""))</f>
        <v>Probabilidad</v>
      </c>
      <c r="R38" s="277" t="s">
        <v>14</v>
      </c>
      <c r="S38" s="277" t="s">
        <v>9</v>
      </c>
      <c r="T38" s="277" t="str">
        <f t="shared" ref="T38" si="42">IF(AND(R38="Preventivo",S38="Automático"),"50%",IF(AND(R38="Preventivo",S38="Manual"),"40%",IF(AND(R38="Detectivo",S38="Automático"),"40%",IF(AND(R38="Detectivo",S38="Manual"),"30%",IF(AND(R38="Correctivo",S38="Automático"),"35%",IF(AND(R38="Correctivo",S38="Manual"),"25%",""))))))</f>
        <v>40%</v>
      </c>
      <c r="U38" s="277" t="s">
        <v>19</v>
      </c>
      <c r="V38" s="277" t="s">
        <v>22</v>
      </c>
      <c r="W38" s="277" t="s">
        <v>119</v>
      </c>
      <c r="X38" s="306">
        <f t="shared" ref="X38" si="43">IFERROR(IF(Q38="Probabilidad",(I38-(+I38*T38)),IF(Q38="Impacto",I38,"")),"")</f>
        <v>0.6</v>
      </c>
      <c r="Y38" s="268" t="str">
        <f t="shared" ref="Y38" si="44">IFERROR(IF(X38="","",IF(X38&lt;=0.2,"Muy Baja",IF(X38&lt;=0.4,"Baja",IF(X38&lt;=0.6,"Media",IF(X38&lt;=0.8,"Alta","Muy Alta"))))),"")</f>
        <v>Media</v>
      </c>
      <c r="Z38" s="271">
        <f t="shared" ref="Z38" si="45">+X38</f>
        <v>0.6</v>
      </c>
      <c r="AA38" s="268" t="str">
        <f t="shared" ref="AA38" si="46">IFERROR(IF(AB38="","",IF(AB38&lt;=0.2,"Leve",IF(AB38&lt;=0.4,"Menor",IF(AB38&lt;=0.6,"Moderado",IF(AB38&lt;=0.8,"Mayor","Catastrófico"))))),"")</f>
        <v>Mayor</v>
      </c>
      <c r="AB38" s="271">
        <f t="shared" ref="AB38" si="47">IFERROR(IF(Q38="Impacto",(M38-(+M38*T38)),IF(Q38="Probabilidad",M38,"")),"")</f>
        <v>0.8</v>
      </c>
      <c r="AC38" s="274" t="str">
        <f t="shared" ref="AC38" si="4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Alto</v>
      </c>
      <c r="AD38" s="277" t="s">
        <v>135</v>
      </c>
      <c r="AE38" s="147" t="s">
        <v>376</v>
      </c>
      <c r="AF38" s="280" t="s">
        <v>212</v>
      </c>
      <c r="AG38" s="147" t="s">
        <v>248</v>
      </c>
      <c r="AH38" s="353">
        <v>46003</v>
      </c>
      <c r="AI38" s="137" t="s">
        <v>401</v>
      </c>
      <c r="AJ38" s="147"/>
      <c r="AK38" s="147"/>
      <c r="AL38" s="121"/>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0" ht="135" customHeight="1" x14ac:dyDescent="0.3">
      <c r="A39" s="284"/>
      <c r="B39" s="281"/>
      <c r="C39" s="310"/>
      <c r="D39" s="281"/>
      <c r="E39" s="287"/>
      <c r="F39" s="310"/>
      <c r="G39" s="290"/>
      <c r="H39" s="293"/>
      <c r="I39" s="349"/>
      <c r="J39" s="350"/>
      <c r="K39" s="349"/>
      <c r="L39" s="293"/>
      <c r="M39" s="266"/>
      <c r="N39" s="298"/>
      <c r="O39" s="284"/>
      <c r="P39" s="355"/>
      <c r="Q39" s="304"/>
      <c r="R39" s="278"/>
      <c r="S39" s="278"/>
      <c r="T39" s="278"/>
      <c r="U39" s="278"/>
      <c r="V39" s="278"/>
      <c r="W39" s="278"/>
      <c r="X39" s="307"/>
      <c r="Y39" s="269"/>
      <c r="Z39" s="272"/>
      <c r="AA39" s="269"/>
      <c r="AB39" s="272"/>
      <c r="AC39" s="275"/>
      <c r="AD39" s="278"/>
      <c r="AE39" s="147" t="s">
        <v>377</v>
      </c>
      <c r="AF39" s="281"/>
      <c r="AG39" s="147" t="s">
        <v>248</v>
      </c>
      <c r="AH39" s="356"/>
      <c r="AI39" s="137" t="s">
        <v>401</v>
      </c>
      <c r="AJ39" s="147"/>
      <c r="AK39" s="147"/>
      <c r="AL39" s="121"/>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row>
    <row r="40" spans="1:70" ht="135" customHeight="1" x14ac:dyDescent="0.3">
      <c r="A40" s="285"/>
      <c r="B40" s="281"/>
      <c r="C40" s="310"/>
      <c r="D40" s="282"/>
      <c r="E40" s="288"/>
      <c r="F40" s="310"/>
      <c r="G40" s="291"/>
      <c r="H40" s="294"/>
      <c r="I40" s="349"/>
      <c r="J40" s="350"/>
      <c r="K40" s="349"/>
      <c r="L40" s="294"/>
      <c r="M40" s="267"/>
      <c r="N40" s="299"/>
      <c r="O40" s="285"/>
      <c r="P40" s="352"/>
      <c r="Q40" s="305"/>
      <c r="R40" s="279"/>
      <c r="S40" s="279"/>
      <c r="T40" s="279"/>
      <c r="U40" s="279"/>
      <c r="V40" s="279"/>
      <c r="W40" s="279"/>
      <c r="X40" s="308"/>
      <c r="Y40" s="270"/>
      <c r="Z40" s="273"/>
      <c r="AA40" s="270"/>
      <c r="AB40" s="273"/>
      <c r="AC40" s="276"/>
      <c r="AD40" s="279"/>
      <c r="AE40" s="147" t="s">
        <v>378</v>
      </c>
      <c r="AF40" s="282"/>
      <c r="AG40" s="147" t="s">
        <v>248</v>
      </c>
      <c r="AH40" s="354"/>
      <c r="AI40" s="137" t="s">
        <v>401</v>
      </c>
      <c r="AJ40" s="147"/>
      <c r="AK40" s="147"/>
      <c r="AL40" s="121"/>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row>
    <row r="41" spans="1:70" ht="126.6" customHeight="1" x14ac:dyDescent="0.3">
      <c r="A41" s="283">
        <v>16</v>
      </c>
      <c r="B41" s="281" t="s">
        <v>132</v>
      </c>
      <c r="C41" s="310" t="s">
        <v>309</v>
      </c>
      <c r="D41" s="286" t="s">
        <v>379</v>
      </c>
      <c r="E41" s="286" t="s">
        <v>244</v>
      </c>
      <c r="F41" s="310" t="s">
        <v>128</v>
      </c>
      <c r="G41" s="289">
        <v>12</v>
      </c>
      <c r="H41" s="292" t="str">
        <f>IF(G41&lt;=0,"",IF(G41&lt;=2,"Muy Baja",IF(G41&lt;=24,"Baja",IF(G41&lt;=500,"Media",IF(G41&lt;=5000,"Alta","Muy Alta")))))</f>
        <v>Baja</v>
      </c>
      <c r="I41" s="349">
        <f>IF(H41="","",IF(H41="Muy Baja",0.2,IF(H41="Baja",0.4,IF(H41="Media",0.6,IF(H41="Alta",0.8,IF(H41="Muy Alta",1,))))))</f>
        <v>0.4</v>
      </c>
      <c r="J41" s="350" t="s">
        <v>90</v>
      </c>
      <c r="K41" s="349" t="s">
        <v>339</v>
      </c>
      <c r="L41" s="292" t="s">
        <v>84</v>
      </c>
      <c r="M41" s="265">
        <f t="shared" ref="M41:M48" si="49">IF(L41="","",IF(L41="Leve",0.2,IF(L41="Menor",0.4,IF(L41="Moderado",0.6,IF(L41="Mayor",0.8,IF(L41="Catastrófico",1,))))))</f>
        <v>0.4</v>
      </c>
      <c r="N41" s="297" t="str">
        <f t="shared" si="40"/>
        <v>Moderado</v>
      </c>
      <c r="O41" s="283">
        <v>1</v>
      </c>
      <c r="P41" s="351" t="s">
        <v>310</v>
      </c>
      <c r="Q41" s="303" t="str">
        <f>IF(OR(R41="Preventivo",R41="Detectivo"),"Probabilidad",IF(R41="Correctivo","Impacto",""))</f>
        <v>Impacto</v>
      </c>
      <c r="R41" s="277" t="s">
        <v>16</v>
      </c>
      <c r="S41" s="277" t="s">
        <v>9</v>
      </c>
      <c r="T41" s="271" t="str">
        <f>IF(AND(R41="Preventivo",S41="Automático"),"50%",IF(AND(R41="Preventivo",S41="Manual"),"40%",IF(AND(R41="Detectivo",S41="Automático"),"40%",IF(AND(R41="Detectivo",S41="Manual"),"30%",IF(AND(R41="Correctivo",S41="Automático"),"35%",IF(AND(R41="Correctivo",S41="Manual"),"25%",""))))))</f>
        <v>25%</v>
      </c>
      <c r="U41" s="277" t="s">
        <v>20</v>
      </c>
      <c r="V41" s="277" t="s">
        <v>22</v>
      </c>
      <c r="W41" s="277" t="s">
        <v>119</v>
      </c>
      <c r="X41" s="306">
        <f>IFERROR(IF(Q41="Probabilidad",(I41-(+I41*T41)),IF(Q41="Impacto",I41,"")),"")</f>
        <v>0.4</v>
      </c>
      <c r="Y41" s="268" t="str">
        <f>IFERROR(IF(X41="","",IF(X41&lt;=0.2,"Muy Baja",IF(X41&lt;=0.4,"Baja",IF(X41&lt;=0.6,"Media",IF(X41&lt;=0.8,"Alta","Muy Alta"))))),"")</f>
        <v>Baja</v>
      </c>
      <c r="Z41" s="271">
        <f>+X41</f>
        <v>0.4</v>
      </c>
      <c r="AA41" s="268" t="str">
        <f>IFERROR(IF(AB41="","",IF(AB41&lt;=0.2,"Leve",IF(AB41&lt;=0.4,"Menor",IF(AB41&lt;=0.6,"Moderado",IF(AB41&lt;=0.8,"Mayor","Catastrófico"))))),"")</f>
        <v>Menor</v>
      </c>
      <c r="AB41" s="271">
        <f>IFERROR(IF(Q41="Impacto",(M41-(+M41*T41)),IF(Q41="Probabilidad",M41,"")),"")</f>
        <v>0.30000000000000004</v>
      </c>
      <c r="AC41" s="274"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Moderado</v>
      </c>
      <c r="AD41" s="277" t="s">
        <v>135</v>
      </c>
      <c r="AE41" s="147" t="s">
        <v>380</v>
      </c>
      <c r="AF41" s="280" t="s">
        <v>212</v>
      </c>
      <c r="AG41" s="147" t="s">
        <v>248</v>
      </c>
      <c r="AH41" s="353">
        <v>46003</v>
      </c>
      <c r="AI41" s="137" t="s">
        <v>401</v>
      </c>
      <c r="AJ41" s="147"/>
      <c r="AK41" s="147"/>
      <c r="AL41" s="121"/>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row>
    <row r="42" spans="1:70" ht="126.6" customHeight="1" x14ac:dyDescent="0.3">
      <c r="A42" s="285">
        <v>15</v>
      </c>
      <c r="B42" s="282"/>
      <c r="C42" s="311"/>
      <c r="D42" s="288"/>
      <c r="E42" s="288"/>
      <c r="F42" s="311"/>
      <c r="G42" s="291"/>
      <c r="H42" s="294"/>
      <c r="I42" s="357"/>
      <c r="J42" s="358"/>
      <c r="K42" s="357"/>
      <c r="L42" s="294"/>
      <c r="M42" s="266"/>
      <c r="N42" s="299"/>
      <c r="O42" s="285"/>
      <c r="P42" s="352"/>
      <c r="Q42" s="305"/>
      <c r="R42" s="279"/>
      <c r="S42" s="279"/>
      <c r="T42" s="273"/>
      <c r="U42" s="279"/>
      <c r="V42" s="279"/>
      <c r="W42" s="279"/>
      <c r="X42" s="308"/>
      <c r="Y42" s="270"/>
      <c r="Z42" s="273"/>
      <c r="AA42" s="270"/>
      <c r="AB42" s="273"/>
      <c r="AC42" s="276"/>
      <c r="AD42" s="279"/>
      <c r="AE42" s="147" t="s">
        <v>381</v>
      </c>
      <c r="AF42" s="282"/>
      <c r="AG42" s="147" t="s">
        <v>248</v>
      </c>
      <c r="AH42" s="354"/>
      <c r="AI42" s="137" t="s">
        <v>401</v>
      </c>
      <c r="AJ42" s="147"/>
      <c r="AK42" s="147"/>
      <c r="AL42" s="121"/>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0" ht="136.5" customHeight="1" x14ac:dyDescent="0.3">
      <c r="A43" s="152">
        <v>17</v>
      </c>
      <c r="B43" s="190" t="s">
        <v>133</v>
      </c>
      <c r="C43" s="191" t="s">
        <v>382</v>
      </c>
      <c r="D43" s="192" t="s">
        <v>311</v>
      </c>
      <c r="E43" s="193" t="s">
        <v>249</v>
      </c>
      <c r="F43" s="192" t="s">
        <v>125</v>
      </c>
      <c r="G43" s="189">
        <v>250</v>
      </c>
      <c r="H43" s="172" t="str">
        <f>IF(G43&lt;=0,"",IF(G43&lt;=2,"Muy Baja",IF(G43&lt;=24,"Baja",IF(G43&lt;=500,"Media",IF(G43&lt;=5000,"Alta","Muy Alta")))))</f>
        <v>Media</v>
      </c>
      <c r="I43" s="160">
        <f>IF(H43="","",IF(H43="Muy Baja",0.2,IF(H43="Baja",0.4,IF(H43="Media",0.6,IF(H43="Alta",0.8,IF(H43="Muy Alta",1,))))))</f>
        <v>0.6</v>
      </c>
      <c r="J43" s="194" t="s">
        <v>57</v>
      </c>
      <c r="K43" s="194" t="str">
        <f ca="1">IFERROR(__xludf.DUMMYFUNCTION("+J25"),"Pérdida Reputacional")</f>
        <v>Pérdida Reputacional</v>
      </c>
      <c r="L43" s="168" t="s">
        <v>81</v>
      </c>
      <c r="M43" s="173">
        <f t="shared" si="49"/>
        <v>0.6</v>
      </c>
      <c r="N43" s="171" t="str">
        <f t="shared" ref="N43:N48" si="50">IF(OR(AND(H43="Muy Baja",L43="Leve"),AND(H43="Muy Baja",L43="Menor"),AND(H43="Baja",L43="Leve")),"Bajo",IF(OR(AND(H43="Muy baja",L43="Moderado"),AND(H43="Baja",L43="Menor"),AND(H43="Baja",L43="Moderado"),AND(H43="Media",L43="Leve"),AND(H43="Media",L43="Menor"),AND(H43="Media",L43="Moderado"),AND(H43="Alta",L43="Leve"),AND(H43="Alta",L43="Menor")),"Moderado",IF(OR(AND(H43="Muy Baja",L43="Mayor"),AND(H43="Baja",L43="Mayor"),AND(H43="Media",L43="Mayor"),AND(H43="Alta",L43="Moderado"),AND(H43="Alta",L43="Mayor"),AND(H43="Muy Alta",L43="Leve"),AND(H43="Muy Alta",L43="Menor"),AND(H43="Muy Alta",L43="Moderado"),AND(H43="Muy Alta",L43="Mayor")),"Alto",IF(OR(AND(H43="Muy Baja",L43="Catastrófico"),AND(H43="Baja",L43="Catastrófico"),AND(H43="Media",L43="Catastrófico"),AND(H43="Alta",L43="Catastrófico"),AND(H43="Muy Alta",L43="Catastrófico")),"Extremo",""))))</f>
        <v>Moderado</v>
      </c>
      <c r="O43" s="5">
        <v>1</v>
      </c>
      <c r="P43" s="195" t="s">
        <v>312</v>
      </c>
      <c r="Q43" s="140" t="str">
        <f t="shared" ref="Q43:Q49" si="51">IF(OR(R43="Preventivo",R43="Detectivo"),"Probabilidad",IF(R43="Correctivo","Impacto",""))</f>
        <v>Impacto</v>
      </c>
      <c r="R43" s="141" t="s">
        <v>16</v>
      </c>
      <c r="S43" s="141" t="s">
        <v>9</v>
      </c>
      <c r="T43" s="142" t="str">
        <f t="shared" ref="T43" si="52">IF(AND(R43="Preventivo",S43="Automático"),"50%",IF(AND(R43="Preventivo",S43="Manual"),"40%",IF(AND(R43="Detectivo",S43="Automático"),"40%",IF(AND(R43="Detectivo",S43="Manual"),"30%",IF(AND(R43="Correctivo",S43="Automático"),"35%",IF(AND(R43="Correctivo",S43="Manual"),"25%",""))))))</f>
        <v>25%</v>
      </c>
      <c r="U43" s="141" t="s">
        <v>19</v>
      </c>
      <c r="V43" s="141" t="s">
        <v>23</v>
      </c>
      <c r="W43" s="141" t="s">
        <v>119</v>
      </c>
      <c r="X43" s="222">
        <f>IFERROR(IF(Q43="Probabilidad",(I43-(+I43*T43)),IF(Q43="Impacto",I43,"")),"")</f>
        <v>0.6</v>
      </c>
      <c r="Y43" s="143" t="str">
        <f t="shared" ref="Y43" si="53">IFERROR(IF(X43="","",IF(X43&lt;=0.2,"Muy Baja",IF(X43&lt;=0.4,"Baja",IF(X43&lt;=0.6,"Media",IF(X43&lt;=0.8,"Alta","Muy Alta"))))),"")</f>
        <v>Media</v>
      </c>
      <c r="Z43" s="144">
        <f t="shared" ref="Z43" si="54">+X43</f>
        <v>0.6</v>
      </c>
      <c r="AA43" s="143" t="str">
        <f t="shared" ref="AA43" si="55">IFERROR(IF(AB43="","",IF(AB43&lt;=0.2,"Leve",IF(AB43&lt;=0.4,"Menor",IF(AB43&lt;=0.6,"Moderado",IF(AB43&lt;=0.8,"Mayor","Catastrófico"))))),"")</f>
        <v>Moderado</v>
      </c>
      <c r="AB43" s="144">
        <f>IFERROR(IF(Q43="Impacto",(M43-(+M43*T43)),IF(Q43="Probabilidad",M43,"")),"")</f>
        <v>0.44999999999999996</v>
      </c>
      <c r="AC43" s="145" t="str">
        <f t="shared" ref="AC43" si="56">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Moderado</v>
      </c>
      <c r="AD43" s="146" t="s">
        <v>136</v>
      </c>
      <c r="AE43" s="196" t="s">
        <v>383</v>
      </c>
      <c r="AF43" s="197" t="s">
        <v>212</v>
      </c>
      <c r="AG43" s="196" t="s">
        <v>400</v>
      </c>
      <c r="AH43" s="198">
        <v>45809</v>
      </c>
      <c r="AI43" s="137" t="s">
        <v>401</v>
      </c>
      <c r="AJ43" s="136"/>
      <c r="AK43" s="136"/>
      <c r="AL43" s="121"/>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row>
    <row r="44" spans="1:70" ht="114" customHeight="1" x14ac:dyDescent="0.3">
      <c r="A44" s="152">
        <v>18</v>
      </c>
      <c r="B44" s="199" t="s">
        <v>133</v>
      </c>
      <c r="C44" s="200" t="s">
        <v>384</v>
      </c>
      <c r="D44" s="199" t="s">
        <v>313</v>
      </c>
      <c r="E44" s="193" t="s">
        <v>250</v>
      </c>
      <c r="F44" s="199" t="s">
        <v>128</v>
      </c>
      <c r="G44" s="189">
        <v>700</v>
      </c>
      <c r="H44" s="172" t="str">
        <f>IF(G44&lt;=0,"",IF(G44&lt;=2,"Muy Baja",IF(G44&lt;=24,"Baja",IF(G44&lt;=500,"Media",IF(G44&lt;=5000,"Alta","Muy Alta")))))</f>
        <v>Alta</v>
      </c>
      <c r="I44" s="160">
        <f>IF(H44="","",IF(H44="Muy Baja",0.2,IF(H44="Baja",0.4,IF(H44="Media",0.6,IF(H44="Alta",0.8,IF(H44="Muy Alta",1,))))))</f>
        <v>0.8</v>
      </c>
      <c r="J44" s="201" t="s">
        <v>152</v>
      </c>
      <c r="K44" s="201" t="str">
        <f ca="1">IFERROR(__xludf.DUMMYFUNCTION("+J26"),"     El riesgo afecta la imagen de la entidad con algunos usuarios de relevancia frente al logro de los objetivos")</f>
        <v xml:space="preserve">     El riesgo afecta la imagen de la entidad con algunos usuarios de relevancia frente al logro de los objetivos</v>
      </c>
      <c r="L44" s="168" t="s">
        <v>81</v>
      </c>
      <c r="M44" s="173">
        <f t="shared" si="49"/>
        <v>0.6</v>
      </c>
      <c r="N44" s="171" t="str">
        <f t="shared" si="50"/>
        <v>Alto</v>
      </c>
      <c r="O44" s="5">
        <v>1</v>
      </c>
      <c r="P44" s="195" t="s">
        <v>385</v>
      </c>
      <c r="Q44" s="140" t="str">
        <f t="shared" si="51"/>
        <v>Probabilidad</v>
      </c>
      <c r="R44" s="141" t="s">
        <v>14</v>
      </c>
      <c r="S44" s="141" t="s">
        <v>9</v>
      </c>
      <c r="T44" s="142" t="str">
        <f t="shared" ref="T44:T49" si="57">IF(AND(R44="Preventivo",S44="Automático"),"50%",IF(AND(R44="Preventivo",S44="Manual"),"40%",IF(AND(R44="Detectivo",S44="Automático"),"40%",IF(AND(R44="Detectivo",S44="Manual"),"30%",IF(AND(R44="Correctivo",S44="Automático"),"35%",IF(AND(R44="Correctivo",S44="Manual"),"25%",""))))))</f>
        <v>40%</v>
      </c>
      <c r="U44" s="141" t="s">
        <v>20</v>
      </c>
      <c r="V44" s="141" t="s">
        <v>23</v>
      </c>
      <c r="W44" s="141" t="s">
        <v>120</v>
      </c>
      <c r="X44" s="222">
        <f>IFERROR(IF(Q44="Probabilidad",(I44-(+I44*T44)),IF(Q44="Impacto",I44,"")),"")</f>
        <v>0.48</v>
      </c>
      <c r="Y44" s="143" t="str">
        <f t="shared" ref="Y44:Y49" si="58">IFERROR(IF(X44="","",IF(X44&lt;=0.2,"Muy Baja",IF(X44&lt;=0.4,"Baja",IF(X44&lt;=0.6,"Media",IF(X44&lt;=0.8,"Alta","Muy Alta"))))),"")</f>
        <v>Media</v>
      </c>
      <c r="Z44" s="144">
        <f t="shared" ref="Z44:Z49" si="59">+X44</f>
        <v>0.48</v>
      </c>
      <c r="AA44" s="143" t="str">
        <f t="shared" ref="AA44:AA49" si="60">IFERROR(IF(AB44="","",IF(AB44&lt;=0.2,"Leve",IF(AB44&lt;=0.4,"Menor",IF(AB44&lt;=0.6,"Moderado",IF(AB44&lt;=0.8,"Mayor","Catastrófico"))))),"")</f>
        <v>Moderado</v>
      </c>
      <c r="AB44" s="144">
        <f t="shared" ref="AB44:AB49" si="61">IFERROR(IF(Q44="Impacto",(M44-(+M44*T44)),IF(Q44="Probabilidad",M44,"")),"")</f>
        <v>0.6</v>
      </c>
      <c r="AC44" s="145" t="str">
        <f t="shared" ref="AC44:AC49" si="62">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Moderado</v>
      </c>
      <c r="AD44" s="146" t="s">
        <v>135</v>
      </c>
      <c r="AE44" s="202" t="s">
        <v>386</v>
      </c>
      <c r="AF44" s="197" t="s">
        <v>212</v>
      </c>
      <c r="AG44" s="196" t="s">
        <v>400</v>
      </c>
      <c r="AH44" s="198">
        <v>45809</v>
      </c>
      <c r="AI44" s="137" t="s">
        <v>401</v>
      </c>
      <c r="AJ44" s="136"/>
      <c r="AK44" s="136"/>
      <c r="AL44" s="121"/>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row>
    <row r="45" spans="1:70" ht="121.5" customHeight="1" x14ac:dyDescent="0.3">
      <c r="A45" s="152">
        <v>19</v>
      </c>
      <c r="B45" s="199" t="s">
        <v>133</v>
      </c>
      <c r="C45" s="203" t="s">
        <v>257</v>
      </c>
      <c r="D45" s="203" t="s">
        <v>314</v>
      </c>
      <c r="E45" s="193" t="s">
        <v>251</v>
      </c>
      <c r="F45" s="199" t="s">
        <v>124</v>
      </c>
      <c r="G45" s="189">
        <v>10</v>
      </c>
      <c r="H45" s="172" t="str">
        <f>IF(G45&lt;=0,"",IF(G45&lt;=2,"Muy Baja",IF(G45&lt;=24,"Baja",IF(G45&lt;=500,"Media",IF(G45&lt;=5000,"Alta","Muy Alta")))))</f>
        <v>Baja</v>
      </c>
      <c r="I45" s="160">
        <f t="shared" ref="I45:I48" si="63">IF(H45="","",IF(H45="Muy Baja",0.2,IF(H45="Baja",0.4,IF(H45="Media",0.6,IF(H45="Alta",0.8,IF(H45="Muy Alta",1,))))))</f>
        <v>0.4</v>
      </c>
      <c r="J45" s="201" t="s">
        <v>90</v>
      </c>
      <c r="K45" s="201" t="str">
        <f ca="1">IF(NOT(ISERROR(MATCH(J45,ANCHORARRAY(E55),0))),I57&amp;"Por favor no seleccionar los criterios de impacto",J45)</f>
        <v>Afectación Económica o presupuestal</v>
      </c>
      <c r="L45" s="168" t="s">
        <v>81</v>
      </c>
      <c r="M45" s="173">
        <f t="shared" si="49"/>
        <v>0.6</v>
      </c>
      <c r="N45" s="171" t="str">
        <f t="shared" si="50"/>
        <v>Moderado</v>
      </c>
      <c r="O45" s="5">
        <v>1</v>
      </c>
      <c r="P45" s="193" t="s">
        <v>318</v>
      </c>
      <c r="Q45" s="122" t="str">
        <f t="shared" si="51"/>
        <v>Probabilidad</v>
      </c>
      <c r="R45" s="124" t="s">
        <v>15</v>
      </c>
      <c r="S45" s="124" t="s">
        <v>9</v>
      </c>
      <c r="T45" s="125" t="str">
        <f t="shared" si="57"/>
        <v>30%</v>
      </c>
      <c r="U45" s="124" t="s">
        <v>19</v>
      </c>
      <c r="V45" s="124" t="s">
        <v>22</v>
      </c>
      <c r="W45" s="124" t="s">
        <v>119</v>
      </c>
      <c r="X45" s="126">
        <f t="shared" ref="X45:X49" si="64">IFERROR(IF(Q45="Probabilidad",(I45-(+I45*T45)),IF(Q45="Impacto",I45,"")),"")</f>
        <v>0.28000000000000003</v>
      </c>
      <c r="Y45" s="127" t="str">
        <f t="shared" si="58"/>
        <v>Baja</v>
      </c>
      <c r="Z45" s="128">
        <f t="shared" si="59"/>
        <v>0.28000000000000003</v>
      </c>
      <c r="AA45" s="127" t="str">
        <f t="shared" si="60"/>
        <v>Moderado</v>
      </c>
      <c r="AB45" s="128">
        <f t="shared" si="61"/>
        <v>0.6</v>
      </c>
      <c r="AC45" s="129" t="str">
        <f t="shared" si="62"/>
        <v>Moderado</v>
      </c>
      <c r="AD45" s="119" t="s">
        <v>32</v>
      </c>
      <c r="AE45" s="196" t="s">
        <v>387</v>
      </c>
      <c r="AF45" s="197" t="s">
        <v>212</v>
      </c>
      <c r="AG45" s="196" t="s">
        <v>400</v>
      </c>
      <c r="AH45" s="198">
        <v>45809</v>
      </c>
      <c r="AI45" s="137" t="s">
        <v>401</v>
      </c>
      <c r="AJ45" s="136"/>
      <c r="AK45" s="136"/>
      <c r="AL45" s="121"/>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row>
    <row r="46" spans="1:70" ht="121.5" customHeight="1" x14ac:dyDescent="0.3">
      <c r="A46" s="152">
        <v>20</v>
      </c>
      <c r="B46" s="199" t="s">
        <v>133</v>
      </c>
      <c r="C46" s="203" t="s">
        <v>316</v>
      </c>
      <c r="D46" s="203" t="s">
        <v>317</v>
      </c>
      <c r="E46" s="193" t="s">
        <v>315</v>
      </c>
      <c r="F46" s="199" t="s">
        <v>123</v>
      </c>
      <c r="G46" s="189">
        <v>100</v>
      </c>
      <c r="H46" s="172" t="str">
        <f t="shared" ref="H46:H52" si="65">IF(G46&lt;=0,"",IF(G46&lt;=2,"Muy Baja",IF(G46&lt;=24,"Baja",IF(G46&lt;=500,"Media",IF(G46&lt;=5000,"Alta","Muy Alta")))))</f>
        <v>Media</v>
      </c>
      <c r="I46" s="160">
        <f t="shared" si="63"/>
        <v>0.6</v>
      </c>
      <c r="J46" s="201" t="s">
        <v>151</v>
      </c>
      <c r="K46" s="201" t="str">
        <f ca="1">IF(NOT(ISERROR(MATCH(J46,ANCHORARRAY(E56),0))),#REF!&amp;"Por favor no seleccionar los criterios de impacto",J46)</f>
        <v xml:space="preserve">     El riesgo afecta la imagen de la entidad internamente, de conocimiento general, nivel interno, de junta dircetiva y accionistas y/o de provedores</v>
      </c>
      <c r="L46" s="168" t="s">
        <v>7</v>
      </c>
      <c r="M46" s="173">
        <f t="shared" si="49"/>
        <v>0.8</v>
      </c>
      <c r="N46" s="171" t="str">
        <f t="shared" si="50"/>
        <v>Alto</v>
      </c>
      <c r="O46" s="5">
        <v>1</v>
      </c>
      <c r="P46" s="193" t="s">
        <v>319</v>
      </c>
      <c r="Q46" s="122" t="str">
        <f t="shared" si="51"/>
        <v>Probabilidad</v>
      </c>
      <c r="R46" s="124" t="s">
        <v>14</v>
      </c>
      <c r="S46" s="124" t="s">
        <v>9</v>
      </c>
      <c r="T46" s="125" t="str">
        <f t="shared" si="57"/>
        <v>40%</v>
      </c>
      <c r="U46" s="124" t="s">
        <v>19</v>
      </c>
      <c r="V46" s="124" t="s">
        <v>22</v>
      </c>
      <c r="W46" s="124" t="s">
        <v>119</v>
      </c>
      <c r="X46" s="126">
        <f t="shared" si="64"/>
        <v>0.36</v>
      </c>
      <c r="Y46" s="127" t="str">
        <f t="shared" si="58"/>
        <v>Baja</v>
      </c>
      <c r="Z46" s="128">
        <f t="shared" si="59"/>
        <v>0.36</v>
      </c>
      <c r="AA46" s="127" t="str">
        <f t="shared" si="60"/>
        <v>Mayor</v>
      </c>
      <c r="AB46" s="128">
        <f t="shared" si="61"/>
        <v>0.8</v>
      </c>
      <c r="AC46" s="129" t="str">
        <f t="shared" si="62"/>
        <v>Alto</v>
      </c>
      <c r="AD46" s="130" t="s">
        <v>136</v>
      </c>
      <c r="AE46" s="196" t="s">
        <v>388</v>
      </c>
      <c r="AF46" s="197" t="s">
        <v>212</v>
      </c>
      <c r="AG46" s="196" t="s">
        <v>400</v>
      </c>
      <c r="AH46" s="198">
        <v>45809</v>
      </c>
      <c r="AI46" s="137" t="s">
        <v>401</v>
      </c>
      <c r="AJ46" s="136"/>
      <c r="AK46" s="136"/>
      <c r="AL46" s="121"/>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row>
    <row r="47" spans="1:70" ht="121.5" customHeight="1" x14ac:dyDescent="0.3">
      <c r="A47" s="152">
        <v>21</v>
      </c>
      <c r="B47" s="199" t="s">
        <v>133</v>
      </c>
      <c r="C47" s="203" t="s">
        <v>258</v>
      </c>
      <c r="D47" s="203" t="s">
        <v>259</v>
      </c>
      <c r="E47" s="193" t="s">
        <v>252</v>
      </c>
      <c r="F47" s="199" t="s">
        <v>123</v>
      </c>
      <c r="G47" s="189">
        <v>12</v>
      </c>
      <c r="H47" s="172" t="str">
        <f t="shared" si="65"/>
        <v>Baja</v>
      </c>
      <c r="I47" s="160">
        <f t="shared" si="63"/>
        <v>0.4</v>
      </c>
      <c r="J47" s="201" t="s">
        <v>151</v>
      </c>
      <c r="K47" s="201" t="str">
        <f ca="1">IF(NOT(ISERROR(MATCH(J47,ANCHORARRAY(E57),0))),#REF!&amp;"Por favor no seleccionar los criterios de impacto",J47)</f>
        <v xml:space="preserve">     El riesgo afecta la imagen de la entidad internamente, de conocimiento general, nivel interno, de junta dircetiva y accionistas y/o de provedores</v>
      </c>
      <c r="L47" s="168" t="s">
        <v>7</v>
      </c>
      <c r="M47" s="173">
        <f t="shared" si="49"/>
        <v>0.8</v>
      </c>
      <c r="N47" s="171" t="str">
        <f t="shared" si="50"/>
        <v>Alto</v>
      </c>
      <c r="O47" s="5">
        <v>1</v>
      </c>
      <c r="P47" s="193" t="s">
        <v>320</v>
      </c>
      <c r="Q47" s="122" t="str">
        <f t="shared" si="51"/>
        <v>Probabilidad</v>
      </c>
      <c r="R47" s="124" t="s">
        <v>14</v>
      </c>
      <c r="S47" s="124" t="s">
        <v>9</v>
      </c>
      <c r="T47" s="125" t="str">
        <f t="shared" si="57"/>
        <v>40%</v>
      </c>
      <c r="U47" s="124" t="s">
        <v>19</v>
      </c>
      <c r="V47" s="124" t="s">
        <v>22</v>
      </c>
      <c r="W47" s="124" t="s">
        <v>119</v>
      </c>
      <c r="X47" s="126">
        <f t="shared" si="64"/>
        <v>0.24</v>
      </c>
      <c r="Y47" s="127" t="str">
        <f t="shared" si="58"/>
        <v>Baja</v>
      </c>
      <c r="Z47" s="128">
        <f t="shared" si="59"/>
        <v>0.24</v>
      </c>
      <c r="AA47" s="127" t="str">
        <f t="shared" si="60"/>
        <v>Mayor</v>
      </c>
      <c r="AB47" s="128">
        <f t="shared" si="61"/>
        <v>0.8</v>
      </c>
      <c r="AC47" s="129" t="str">
        <f t="shared" si="62"/>
        <v>Alto</v>
      </c>
      <c r="AD47" s="119" t="s">
        <v>135</v>
      </c>
      <c r="AE47" s="196" t="s">
        <v>389</v>
      </c>
      <c r="AF47" s="197" t="s">
        <v>212</v>
      </c>
      <c r="AG47" s="196" t="s">
        <v>400</v>
      </c>
      <c r="AH47" s="198">
        <v>45809</v>
      </c>
      <c r="AI47" s="137" t="s">
        <v>401</v>
      </c>
      <c r="AJ47" s="136"/>
      <c r="AK47" s="136"/>
      <c r="AL47" s="121"/>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row>
    <row r="48" spans="1:70" ht="110.25" customHeight="1" x14ac:dyDescent="0.3">
      <c r="A48" s="152">
        <v>22</v>
      </c>
      <c r="B48" s="204" t="s">
        <v>133</v>
      </c>
      <c r="C48" s="203" t="s">
        <v>260</v>
      </c>
      <c r="D48" s="203" t="s">
        <v>261</v>
      </c>
      <c r="E48" s="193" t="s">
        <v>253</v>
      </c>
      <c r="F48" s="204" t="s">
        <v>128</v>
      </c>
      <c r="G48" s="189">
        <v>5000</v>
      </c>
      <c r="H48" s="172" t="str">
        <f t="shared" si="65"/>
        <v>Alta</v>
      </c>
      <c r="I48" s="160">
        <f t="shared" si="63"/>
        <v>0.8</v>
      </c>
      <c r="J48" s="205" t="s">
        <v>150</v>
      </c>
      <c r="K48" s="205" t="str">
        <f ca="1">IF(NOT(ISERROR(MATCH(J48,ANCHORARRAY(#REF!),0))),#REF!&amp;"Por favor no seleccionar los criterios de impacto",J48)</f>
        <v xml:space="preserve">     El riesgo afecta la imagen de alguna área de la organización</v>
      </c>
      <c r="L48" s="168" t="s">
        <v>81</v>
      </c>
      <c r="M48" s="173">
        <f t="shared" si="49"/>
        <v>0.6</v>
      </c>
      <c r="N48" s="171" t="str">
        <f t="shared" si="50"/>
        <v>Alto</v>
      </c>
      <c r="O48" s="5">
        <v>1</v>
      </c>
      <c r="P48" s="193" t="s">
        <v>321</v>
      </c>
      <c r="Q48" s="122" t="str">
        <f t="shared" si="51"/>
        <v>Probabilidad</v>
      </c>
      <c r="R48" s="124" t="s">
        <v>14</v>
      </c>
      <c r="S48" s="124" t="s">
        <v>10</v>
      </c>
      <c r="T48" s="125" t="str">
        <f t="shared" si="57"/>
        <v>50%</v>
      </c>
      <c r="U48" s="124" t="s">
        <v>19</v>
      </c>
      <c r="V48" s="124" t="s">
        <v>22</v>
      </c>
      <c r="W48" s="124" t="s">
        <v>119</v>
      </c>
      <c r="X48" s="126">
        <f t="shared" si="64"/>
        <v>0.4</v>
      </c>
      <c r="Y48" s="127" t="str">
        <f t="shared" si="58"/>
        <v>Baja</v>
      </c>
      <c r="Z48" s="128">
        <f t="shared" si="59"/>
        <v>0.4</v>
      </c>
      <c r="AA48" s="127" t="str">
        <f t="shared" si="60"/>
        <v>Moderado</v>
      </c>
      <c r="AB48" s="128">
        <f t="shared" si="61"/>
        <v>0.6</v>
      </c>
      <c r="AC48" s="129" t="str">
        <f t="shared" si="62"/>
        <v>Moderado</v>
      </c>
      <c r="AD48" s="130" t="s">
        <v>135</v>
      </c>
      <c r="AE48" s="196" t="s">
        <v>390</v>
      </c>
      <c r="AF48" s="197" t="s">
        <v>212</v>
      </c>
      <c r="AG48" s="196" t="s">
        <v>400</v>
      </c>
      <c r="AH48" s="198">
        <v>45809</v>
      </c>
      <c r="AI48" s="137" t="s">
        <v>401</v>
      </c>
      <c r="AJ48" s="136"/>
      <c r="AK48" s="136"/>
      <c r="AL48" s="121"/>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row>
    <row r="49" spans="1:70" ht="122.25" customHeight="1" x14ac:dyDescent="0.3">
      <c r="A49" s="152">
        <v>23</v>
      </c>
      <c r="B49" s="190" t="s">
        <v>133</v>
      </c>
      <c r="C49" s="203" t="s">
        <v>262</v>
      </c>
      <c r="D49" s="203" t="s">
        <v>263</v>
      </c>
      <c r="E49" s="193" t="s">
        <v>254</v>
      </c>
      <c r="F49" s="190" t="s">
        <v>123</v>
      </c>
      <c r="G49" s="206">
        <v>400</v>
      </c>
      <c r="H49" s="172" t="str">
        <f t="shared" si="65"/>
        <v>Media</v>
      </c>
      <c r="I49" s="194">
        <f>IF(H49="","",IF(H49="Muy Baja",0.2,IF(H49="Baja",0.4,IF(H49="Media",0.6,IF(H49="Alta",0.8,IF(H49="Muy Alta",1,))))))</f>
        <v>0.6</v>
      </c>
      <c r="J49" s="194" t="s">
        <v>90</v>
      </c>
      <c r="K49" s="194" t="str">
        <f>IF(NOT(ISERROR(MATCH(J49,'[2]Tabla Impacto'!$B$221:$B$223,0))),'[2]Tabla Impacto'!$F$223&amp;"Por favor no seleccionar los criterios de impacto(Afectación Económica o presupuestal y Pérdida Reputacional)",J49)</f>
        <v>Afectación Económica o presupuestal</v>
      </c>
      <c r="L49" s="168" t="s">
        <v>81</v>
      </c>
      <c r="M49" s="170">
        <f>IF(L49="","",IF(L49="Leve",0.2,IF(L49="Menor",0.4,IF(L49="Moderado",0.6,IF(L49="Mayor",0.8,IF(L49="Catastrófico",1,))))))</f>
        <v>0.6</v>
      </c>
      <c r="N49" s="171" t="str">
        <f>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Moderado</v>
      </c>
      <c r="O49" s="5">
        <v>1</v>
      </c>
      <c r="P49" s="193" t="s">
        <v>322</v>
      </c>
      <c r="Q49" s="122" t="str">
        <f t="shared" si="51"/>
        <v>Probabilidad</v>
      </c>
      <c r="R49" s="124" t="s">
        <v>14</v>
      </c>
      <c r="S49" s="124" t="s">
        <v>10</v>
      </c>
      <c r="T49" s="125" t="str">
        <f t="shared" si="57"/>
        <v>50%</v>
      </c>
      <c r="U49" s="124" t="s">
        <v>19</v>
      </c>
      <c r="V49" s="124" t="s">
        <v>22</v>
      </c>
      <c r="W49" s="124" t="s">
        <v>119</v>
      </c>
      <c r="X49" s="126">
        <f t="shared" si="64"/>
        <v>0.3</v>
      </c>
      <c r="Y49" s="127" t="str">
        <f t="shared" si="58"/>
        <v>Baja</v>
      </c>
      <c r="Z49" s="128">
        <f t="shared" si="59"/>
        <v>0.3</v>
      </c>
      <c r="AA49" s="127" t="str">
        <f t="shared" si="60"/>
        <v>Moderado</v>
      </c>
      <c r="AB49" s="128">
        <f t="shared" si="61"/>
        <v>0.6</v>
      </c>
      <c r="AC49" s="129" t="str">
        <f t="shared" si="62"/>
        <v>Moderado</v>
      </c>
      <c r="AD49" s="130" t="s">
        <v>135</v>
      </c>
      <c r="AE49" s="196" t="s">
        <v>391</v>
      </c>
      <c r="AF49" s="197" t="s">
        <v>212</v>
      </c>
      <c r="AG49" s="196" t="s">
        <v>400</v>
      </c>
      <c r="AH49" s="198">
        <v>45809</v>
      </c>
      <c r="AI49" s="137" t="s">
        <v>401</v>
      </c>
      <c r="AJ49" s="136"/>
      <c r="AK49" s="136"/>
      <c r="AL49" s="121"/>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row>
    <row r="50" spans="1:70" ht="121.5" customHeight="1" x14ac:dyDescent="0.3">
      <c r="A50" s="152">
        <v>24</v>
      </c>
      <c r="B50" s="199" t="s">
        <v>133</v>
      </c>
      <c r="C50" s="203" t="s">
        <v>255</v>
      </c>
      <c r="D50" s="203" t="s">
        <v>256</v>
      </c>
      <c r="E50" s="203" t="s">
        <v>323</v>
      </c>
      <c r="F50" s="199" t="s">
        <v>125</v>
      </c>
      <c r="G50" s="206">
        <v>4000</v>
      </c>
      <c r="H50" s="172" t="str">
        <f t="shared" si="65"/>
        <v>Alta</v>
      </c>
      <c r="I50" s="194">
        <f>IF(H50="","",IF(H50="Muy Baja",0.2,IF(H50="Baja",0.4,IF(H50="Media",0.6,IF(H50="Alta",0.8,IF(H50="Muy Alta",1,))))))</f>
        <v>0.8</v>
      </c>
      <c r="J50" s="201" t="s">
        <v>90</v>
      </c>
      <c r="K50" s="201" t="str">
        <f ca="1">IF(NOT(ISERROR(MATCH(J50,ANCHORARRAY(#REF!),0))),#REF!&amp;"Por favor no seleccionar los criterios de impacto",J50)</f>
        <v>Afectación Económica o presupuestal</v>
      </c>
      <c r="L50" s="168" t="s">
        <v>84</v>
      </c>
      <c r="M50" s="170">
        <f t="shared" ref="M50:M52" si="66">IF(L50="","",IF(L50="Leve",0.2,IF(L50="Menor",0.4,IF(L50="Moderado",0.6,IF(L50="Mayor",0.8,IF(L50="Catastrófico",1,))))))</f>
        <v>0.4</v>
      </c>
      <c r="N50" s="171" t="str">
        <f t="shared" ref="N50:N52" si="67">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Moderado</v>
      </c>
      <c r="O50" s="5">
        <v>1</v>
      </c>
      <c r="P50" s="203" t="s">
        <v>324</v>
      </c>
      <c r="Q50" s="122" t="str">
        <f t="shared" ref="Q50:Q51" si="68">IF(OR(R50="Preventivo",R50="Detectivo"),"Probabilidad",IF(R50="Correctivo","Impacto",""))</f>
        <v>Probabilidad</v>
      </c>
      <c r="R50" s="124" t="s">
        <v>14</v>
      </c>
      <c r="S50" s="124" t="s">
        <v>10</v>
      </c>
      <c r="T50" s="125" t="str">
        <f t="shared" ref="T50:T51" si="69">IF(AND(R50="Preventivo",S50="Automático"),"50%",IF(AND(R50="Preventivo",S50="Manual"),"40%",IF(AND(R50="Detectivo",S50="Automático"),"40%",IF(AND(R50="Detectivo",S50="Manual"),"30%",IF(AND(R50="Correctivo",S50="Automático"),"35%",IF(AND(R50="Correctivo",S50="Manual"),"25%",""))))))</f>
        <v>50%</v>
      </c>
      <c r="U50" s="124" t="s">
        <v>19</v>
      </c>
      <c r="V50" s="124" t="s">
        <v>22</v>
      </c>
      <c r="W50" s="124" t="s">
        <v>119</v>
      </c>
      <c r="X50" s="126">
        <f t="shared" ref="X50" si="70">IFERROR(IF(Q50="Probabilidad",(I50-(+I50*T50)),IF(Q50="Impacto",I50,"")),"")</f>
        <v>0.4</v>
      </c>
      <c r="Y50" s="127" t="str">
        <f t="shared" ref="Y50" si="71">IFERROR(IF(X50="","",IF(X50&lt;=0.2,"Muy Baja",IF(X50&lt;=0.4,"Baja",IF(X50&lt;=0.6,"Media",IF(X50&lt;=0.8,"Alta","Muy Alta"))))),"")</f>
        <v>Baja</v>
      </c>
      <c r="Z50" s="128">
        <f t="shared" ref="Z50:Z51" si="72">+X50</f>
        <v>0.4</v>
      </c>
      <c r="AA50" s="127" t="str">
        <f t="shared" ref="AA50:AA51" si="73">IFERROR(IF(AB50="","",IF(AB50&lt;=0.2,"Leve",IF(AB50&lt;=0.4,"Menor",IF(AB50&lt;=0.6,"Moderado",IF(AB50&lt;=0.8,"Mayor","Catastrófico"))))),"")</f>
        <v>Menor</v>
      </c>
      <c r="AB50" s="128">
        <f t="shared" ref="AB50:AB51" si="74">IFERROR(IF(Q50="Impacto",(M50-(+M50*T50)),IF(Q50="Probabilidad",M50,"")),"")</f>
        <v>0.4</v>
      </c>
      <c r="AC50" s="129" t="str">
        <f t="shared" ref="AC50:AC51" si="75">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Moderado</v>
      </c>
      <c r="AD50" s="130" t="s">
        <v>32</v>
      </c>
      <c r="AE50" s="196" t="s">
        <v>392</v>
      </c>
      <c r="AF50" s="197" t="s">
        <v>212</v>
      </c>
      <c r="AG50" s="196" t="s">
        <v>400</v>
      </c>
      <c r="AH50" s="198">
        <v>45809</v>
      </c>
      <c r="AI50" s="137" t="s">
        <v>401</v>
      </c>
      <c r="AJ50" s="136"/>
      <c r="AK50" s="136"/>
      <c r="AL50" s="121"/>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row>
    <row r="51" spans="1:70" ht="151.5" customHeight="1" x14ac:dyDescent="0.3">
      <c r="A51" s="152">
        <v>25</v>
      </c>
      <c r="B51" s="199" t="s">
        <v>131</v>
      </c>
      <c r="C51" s="200" t="s">
        <v>266</v>
      </c>
      <c r="D51" s="200" t="s">
        <v>265</v>
      </c>
      <c r="E51" s="200" t="s">
        <v>264</v>
      </c>
      <c r="F51" s="199" t="s">
        <v>128</v>
      </c>
      <c r="G51" s="206">
        <v>60</v>
      </c>
      <c r="H51" s="172" t="str">
        <f t="shared" si="65"/>
        <v>Media</v>
      </c>
      <c r="I51" s="194">
        <f>IF(H51="","",IF(H51="Muy Baja",0.2,IF(H51="Baja",0.4,IF(H51="Media",0.6,IF(H51="Alta",0.8,IF(H51="Muy Alta",1,))))))</f>
        <v>0.6</v>
      </c>
      <c r="J51" s="201" t="s">
        <v>90</v>
      </c>
      <c r="K51" s="201" t="str">
        <f ca="1">IF(NOT(ISERROR(MATCH(J51,ANCHORARRAY(#REF!),0))),#REF!&amp;"Por favor no seleccionar los criterios de impacto",J51)</f>
        <v>Afectación Económica o presupuestal</v>
      </c>
      <c r="L51" s="168" t="s">
        <v>7</v>
      </c>
      <c r="M51" s="170">
        <f t="shared" si="66"/>
        <v>0.8</v>
      </c>
      <c r="N51" s="171" t="str">
        <f t="shared" si="67"/>
        <v>Alto</v>
      </c>
      <c r="O51" s="5">
        <v>1</v>
      </c>
      <c r="P51" s="197" t="s">
        <v>393</v>
      </c>
      <c r="Q51" s="122" t="str">
        <f t="shared" si="68"/>
        <v>Probabilidad</v>
      </c>
      <c r="R51" s="124" t="s">
        <v>15</v>
      </c>
      <c r="S51" s="124" t="s">
        <v>9</v>
      </c>
      <c r="T51" s="125" t="str">
        <f t="shared" si="69"/>
        <v>30%</v>
      </c>
      <c r="U51" s="124" t="s">
        <v>19</v>
      </c>
      <c r="V51" s="124" t="s">
        <v>22</v>
      </c>
      <c r="W51" s="124" t="s">
        <v>119</v>
      </c>
      <c r="X51" s="126">
        <f t="shared" ref="X51:X57" si="76">IFERROR(IF(Q51="Probabilidad",(I51-(+I51*T51)),IF(Q51="Impacto",I51,"")),"")</f>
        <v>0.42</v>
      </c>
      <c r="Y51" s="127" t="s">
        <v>107</v>
      </c>
      <c r="Z51" s="128">
        <f t="shared" si="72"/>
        <v>0.42</v>
      </c>
      <c r="AA51" s="127" t="str">
        <f t="shared" si="73"/>
        <v>Mayor</v>
      </c>
      <c r="AB51" s="128">
        <f t="shared" si="74"/>
        <v>0.8</v>
      </c>
      <c r="AC51" s="129" t="str">
        <f t="shared" si="75"/>
        <v>Alto</v>
      </c>
      <c r="AD51" s="130" t="s">
        <v>135</v>
      </c>
      <c r="AE51" s="196" t="s">
        <v>394</v>
      </c>
      <c r="AF51" s="197" t="s">
        <v>331</v>
      </c>
      <c r="AG51" s="196" t="s">
        <v>400</v>
      </c>
      <c r="AH51" s="198">
        <v>45809</v>
      </c>
      <c r="AI51" s="137" t="s">
        <v>401</v>
      </c>
      <c r="AJ51" s="136"/>
      <c r="AK51" s="136"/>
      <c r="AL51" s="121"/>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row>
    <row r="52" spans="1:70" ht="151.5" customHeight="1" x14ac:dyDescent="0.3">
      <c r="A52" s="152">
        <v>26</v>
      </c>
      <c r="B52" s="199" t="s">
        <v>133</v>
      </c>
      <c r="C52" s="207" t="s">
        <v>267</v>
      </c>
      <c r="D52" s="207" t="s">
        <v>268</v>
      </c>
      <c r="E52" s="207" t="s">
        <v>269</v>
      </c>
      <c r="F52" s="208" t="s">
        <v>123</v>
      </c>
      <c r="G52" s="189">
        <v>700</v>
      </c>
      <c r="H52" s="172" t="str">
        <f t="shared" si="65"/>
        <v>Alta</v>
      </c>
      <c r="I52" s="210">
        <f t="shared" ref="I52:I57" si="77">IF(H52="","",IF(H52="Muy Baja",0.2,IF(H52="Baja",0.4,IF(H52="Media",0.6,IF(H52="Alta",0.8,IF(H52="Muy Alta",1,))))))</f>
        <v>0.8</v>
      </c>
      <c r="J52" s="210" t="s">
        <v>152</v>
      </c>
      <c r="K52" s="201" t="str">
        <f ca="1">IF(NOT(ISERROR(MATCH(J52,ANCHORARRAY(#REF!),0))),#REF!&amp;"Por favor no seleccionar los criterios de impacto",J52)</f>
        <v xml:space="preserve">     El riesgo afecta la imagen de la entidad con algunos usuarios de relevancia frente al logro de los objetivos</v>
      </c>
      <c r="L52" s="169" t="s">
        <v>81</v>
      </c>
      <c r="M52" s="170">
        <f t="shared" si="66"/>
        <v>0.6</v>
      </c>
      <c r="N52" s="171" t="str">
        <f t="shared" si="67"/>
        <v>Alto</v>
      </c>
      <c r="O52" s="5">
        <v>1</v>
      </c>
      <c r="P52" s="211" t="s">
        <v>332</v>
      </c>
      <c r="Q52" s="122" t="str">
        <f t="shared" ref="Q52:Q57" si="78">IF(OR(R52="Preventivo",R52="Detectivo"),"Probabilidad",IF(R52="Correctivo","Impacto",""))</f>
        <v>Probabilidad</v>
      </c>
      <c r="R52" s="124" t="s">
        <v>14</v>
      </c>
      <c r="S52" s="124" t="s">
        <v>10</v>
      </c>
      <c r="T52" s="125" t="str">
        <f t="shared" ref="T52:T57" si="79">IF(AND(R52="Preventivo",S52="Automático"),"50%",IF(AND(R52="Preventivo",S52="Manual"),"40%",IF(AND(R52="Detectivo",S52="Automático"),"40%",IF(AND(R52="Detectivo",S52="Manual"),"30%",IF(AND(R52="Correctivo",S52="Automático"),"35%",IF(AND(R52="Correctivo",S52="Manual"),"25%",""))))))</f>
        <v>50%</v>
      </c>
      <c r="U52" s="124" t="s">
        <v>19</v>
      </c>
      <c r="V52" s="124" t="s">
        <v>22</v>
      </c>
      <c r="W52" s="124" t="s">
        <v>119</v>
      </c>
      <c r="X52" s="126">
        <f t="shared" si="76"/>
        <v>0.4</v>
      </c>
      <c r="Y52" s="127" t="str">
        <f t="shared" ref="Y52:Y57" si="80">IFERROR(IF(X52="","",IF(X52&lt;=0.2,"Muy Baja",IF(X52&lt;=0.4,"Baja",IF(X52&lt;=0.6,"Media",IF(X52&lt;=0.8,"Alta","Muy Alta"))))),"")</f>
        <v>Baja</v>
      </c>
      <c r="Z52" s="128">
        <f t="shared" ref="Z52:Z57" si="81">+X52</f>
        <v>0.4</v>
      </c>
      <c r="AA52" s="127" t="str">
        <f t="shared" ref="AA52:AA57" si="82">IFERROR(IF(AB52="","",IF(AB52&lt;=0.2,"Leve",IF(AB52&lt;=0.4,"Menor",IF(AB52&lt;=0.6,"Moderado",IF(AB52&lt;=0.8,"Mayor","Catastrófico"))))),"")</f>
        <v>Moderado</v>
      </c>
      <c r="AB52" s="128">
        <f t="shared" ref="AB52:AB57" si="83">IFERROR(IF(Q52="Impacto",(M52-(+M52*T52)),IF(Q52="Probabilidad",M52,"")),"")</f>
        <v>0.6</v>
      </c>
      <c r="AC52" s="129" t="str">
        <f t="shared" ref="AC52:AC57" si="84">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Moderado</v>
      </c>
      <c r="AD52" s="130"/>
      <c r="AE52" s="212" t="s">
        <v>395</v>
      </c>
      <c r="AF52" s="197" t="s">
        <v>212</v>
      </c>
      <c r="AG52" s="196" t="s">
        <v>400</v>
      </c>
      <c r="AH52" s="198">
        <v>45809</v>
      </c>
      <c r="AI52" s="137" t="s">
        <v>401</v>
      </c>
      <c r="AJ52" s="136"/>
      <c r="AK52" s="136"/>
      <c r="AL52" s="121"/>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row>
    <row r="53" spans="1:70" ht="151.5" customHeight="1" x14ac:dyDescent="0.3">
      <c r="A53" s="152">
        <v>27</v>
      </c>
      <c r="B53" s="199" t="s">
        <v>133</v>
      </c>
      <c r="C53" s="200" t="s">
        <v>272</v>
      </c>
      <c r="D53" s="200" t="s">
        <v>271</v>
      </c>
      <c r="E53" s="193" t="s">
        <v>270</v>
      </c>
      <c r="F53" s="203" t="s">
        <v>123</v>
      </c>
      <c r="G53" s="189">
        <v>200</v>
      </c>
      <c r="H53" s="213" t="str">
        <f t="shared" ref="H53:H57" si="85">IF(G53&lt;=0,"",IF(G53&lt;=2,"Muy Baja",IF(G53&lt;=24,"Baja",IF(G53&lt;=500,"Media",IF(G53&lt;=5000,"Alta","Muy Alta")))))</f>
        <v>Media</v>
      </c>
      <c r="I53" s="214">
        <f t="shared" si="77"/>
        <v>0.6</v>
      </c>
      <c r="J53" s="214" t="s">
        <v>152</v>
      </c>
      <c r="K53" s="214" t="s">
        <v>152</v>
      </c>
      <c r="L53" s="172" t="str">
        <f>IF(OR(K53='[3]Tabla Impacto'!$C$11,K53='[3]Tabla Impacto'!$D$11),"Leve",IF(OR(K53='[3]Tabla Impacto'!$C$12,K53='[3]Tabla Impacto'!$D$12),"Menor",IF(OR(K53='[3]Tabla Impacto'!$C$13,K53='[3]Tabla Impacto'!$D$13),"Moderado",IF(OR(K53='[3]Tabla Impacto'!$C$14,K53='[3]Tabla Impacto'!$D$14),"Mayor",IF(OR(K53='[3]Tabla Impacto'!$C$15,K53='[3]Tabla Impacto'!$D$15),"Catastrófico","")))))</f>
        <v>Moderado</v>
      </c>
      <c r="M53" s="173">
        <f t="shared" ref="M53:M57" si="86">IF(L53="","",IF(L53="Leve",0.2,IF(L53="Menor",0.4,IF(L53="Moderado",0.6,IF(L53="Mayor",0.8,IF(L53="Catastrófico",1,))))))</f>
        <v>0.6</v>
      </c>
      <c r="N53" s="174" t="str">
        <f t="shared" ref="N53:N57" si="87">IF(OR(AND(H53="Muy Baja",L53="Leve"),AND(H53="Muy Baja",L53="Menor"),AND(H53="Baja",L53="Leve")),"Bajo",IF(OR(AND(H53="Muy baja",L53="Moderado"),AND(H53="Baja",L53="Menor"),AND(H53="Baja",L53="Moderado"),AND(H53="Media",L53="Leve"),AND(H53="Media",L53="Menor"),AND(H53="Media",L53="Moderado"),AND(H53="Alta",L53="Leve"),AND(H53="Alta",L53="Menor")),"Moderado",IF(OR(AND(H53="Muy Baja",L53="Mayor"),AND(H53="Baja",L53="Mayor"),AND(H53="Media",L53="Mayor"),AND(H53="Alta",L53="Moderado"),AND(H53="Alta",L53="Mayor"),AND(H53="Muy Alta",L53="Leve"),AND(H53="Muy Alta",L53="Menor"),AND(H53="Muy Alta",L53="Moderado"),AND(H53="Muy Alta",L53="Mayor")),"Alto",IF(OR(AND(H53="Muy Baja",L53="Catastrófico"),AND(H53="Baja",L53="Catastrófico"),AND(H53="Media",L53="Catastrófico"),AND(H53="Alta",L53="Catastrófico"),AND(H53="Muy Alta",L53="Catastrófico")),"Extremo",""))))</f>
        <v>Moderado</v>
      </c>
      <c r="O53" s="5">
        <v>1</v>
      </c>
      <c r="P53" s="215" t="s">
        <v>325</v>
      </c>
      <c r="Q53" s="122" t="str">
        <f t="shared" si="78"/>
        <v>Probabilidad</v>
      </c>
      <c r="R53" s="124" t="s">
        <v>15</v>
      </c>
      <c r="S53" s="124" t="s">
        <v>9</v>
      </c>
      <c r="T53" s="125" t="str">
        <f t="shared" si="79"/>
        <v>30%</v>
      </c>
      <c r="U53" s="124" t="s">
        <v>20</v>
      </c>
      <c r="V53" s="124" t="s">
        <v>22</v>
      </c>
      <c r="W53" s="124" t="s">
        <v>119</v>
      </c>
      <c r="X53" s="126">
        <f t="shared" si="76"/>
        <v>0.42</v>
      </c>
      <c r="Y53" s="127" t="str">
        <f t="shared" si="80"/>
        <v>Media</v>
      </c>
      <c r="Z53" s="128">
        <f t="shared" si="81"/>
        <v>0.42</v>
      </c>
      <c r="AA53" s="127" t="str">
        <f t="shared" si="82"/>
        <v>Moderado</v>
      </c>
      <c r="AB53" s="128">
        <f t="shared" si="83"/>
        <v>0.6</v>
      </c>
      <c r="AC53" s="129" t="str">
        <f t="shared" si="84"/>
        <v>Moderado</v>
      </c>
      <c r="AD53" s="130" t="s">
        <v>135</v>
      </c>
      <c r="AE53" s="212" t="s">
        <v>396</v>
      </c>
      <c r="AF53" s="197" t="s">
        <v>212</v>
      </c>
      <c r="AG53" s="196" t="s">
        <v>400</v>
      </c>
      <c r="AH53" s="198">
        <v>45809</v>
      </c>
      <c r="AI53" s="137" t="s">
        <v>401</v>
      </c>
      <c r="AJ53" s="136"/>
      <c r="AK53" s="136"/>
      <c r="AL53" s="121"/>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row>
    <row r="54" spans="1:70" ht="151.5" customHeight="1" x14ac:dyDescent="0.3">
      <c r="A54" s="152">
        <v>28</v>
      </c>
      <c r="B54" s="190" t="s">
        <v>133</v>
      </c>
      <c r="C54" s="203" t="s">
        <v>273</v>
      </c>
      <c r="D54" s="203" t="s">
        <v>274</v>
      </c>
      <c r="E54" s="203" t="s">
        <v>275</v>
      </c>
      <c r="F54" s="203" t="s">
        <v>123</v>
      </c>
      <c r="G54" s="189">
        <v>50</v>
      </c>
      <c r="H54" s="213" t="str">
        <f t="shared" si="85"/>
        <v>Media</v>
      </c>
      <c r="I54" s="214">
        <f t="shared" si="77"/>
        <v>0.6</v>
      </c>
      <c r="J54" s="214" t="s">
        <v>151</v>
      </c>
      <c r="K54" s="214" t="s">
        <v>151</v>
      </c>
      <c r="L54" s="172" t="str">
        <f>IF(OR(K54='[3]Tabla Impacto'!$C$11,K54='[3]Tabla Impacto'!$D$11),"Leve",IF(OR(K54='[3]Tabla Impacto'!$C$12,K54='[3]Tabla Impacto'!$D$12),"Menor",IF(OR(K54='[3]Tabla Impacto'!$C$13,K54='[3]Tabla Impacto'!$D$13),"Moderado",IF(OR(K54='[3]Tabla Impacto'!$C$14,K54='[3]Tabla Impacto'!$D$14),"Mayor",IF(OR(K54='[3]Tabla Impacto'!$C$15,K54='[3]Tabla Impacto'!$D$15),"Catastrófico","")))))</f>
        <v>Menor</v>
      </c>
      <c r="M54" s="173">
        <f t="shared" si="86"/>
        <v>0.4</v>
      </c>
      <c r="N54" s="174" t="str">
        <f t="shared" si="87"/>
        <v>Moderado</v>
      </c>
      <c r="O54" s="5">
        <v>1</v>
      </c>
      <c r="P54" s="216" t="s">
        <v>326</v>
      </c>
      <c r="Q54" s="122" t="str">
        <f t="shared" si="78"/>
        <v>Probabilidad</v>
      </c>
      <c r="R54" s="124" t="s">
        <v>14</v>
      </c>
      <c r="S54" s="124" t="s">
        <v>10</v>
      </c>
      <c r="T54" s="125" t="str">
        <f t="shared" si="79"/>
        <v>50%</v>
      </c>
      <c r="U54" s="124" t="s">
        <v>19</v>
      </c>
      <c r="V54" s="124" t="s">
        <v>22</v>
      </c>
      <c r="W54" s="124" t="s">
        <v>119</v>
      </c>
      <c r="X54" s="126">
        <f t="shared" si="76"/>
        <v>0.3</v>
      </c>
      <c r="Y54" s="127" t="str">
        <f t="shared" si="80"/>
        <v>Baja</v>
      </c>
      <c r="Z54" s="128">
        <f t="shared" si="81"/>
        <v>0.3</v>
      </c>
      <c r="AA54" s="127" t="str">
        <f t="shared" si="82"/>
        <v>Menor</v>
      </c>
      <c r="AB54" s="128">
        <f t="shared" si="83"/>
        <v>0.4</v>
      </c>
      <c r="AC54" s="129" t="str">
        <f t="shared" si="84"/>
        <v>Moderado</v>
      </c>
      <c r="AD54" s="130"/>
      <c r="AE54" s="212" t="s">
        <v>397</v>
      </c>
      <c r="AF54" s="197" t="s">
        <v>212</v>
      </c>
      <c r="AG54" s="196" t="s">
        <v>400</v>
      </c>
      <c r="AH54" s="198">
        <v>45809</v>
      </c>
      <c r="AI54" s="137" t="s">
        <v>401</v>
      </c>
      <c r="AJ54" s="136"/>
      <c r="AK54" s="136"/>
      <c r="AL54" s="121"/>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row>
    <row r="55" spans="1:70" ht="151.5" customHeight="1" x14ac:dyDescent="0.3">
      <c r="A55" s="152">
        <v>29</v>
      </c>
      <c r="B55" s="199"/>
      <c r="C55" s="200" t="s">
        <v>278</v>
      </c>
      <c r="D55" s="200" t="s">
        <v>277</v>
      </c>
      <c r="E55" s="200" t="s">
        <v>276</v>
      </c>
      <c r="F55" s="200" t="s">
        <v>123</v>
      </c>
      <c r="G55" s="189">
        <v>100</v>
      </c>
      <c r="H55" s="209" t="str">
        <f t="shared" si="85"/>
        <v>Media</v>
      </c>
      <c r="I55" s="210">
        <f t="shared" si="77"/>
        <v>0.6</v>
      </c>
      <c r="J55" s="210" t="s">
        <v>152</v>
      </c>
      <c r="K55" s="217" t="s">
        <v>152</v>
      </c>
      <c r="L55" s="151" t="str">
        <f>IF(OR(K55='[4]Tabla Impacto'!$C$11,K55='[4]Tabla Impacto'!$D$11),"Leve",IF(OR(K55='[4]Tabla Impacto'!$C$12,K55='[4]Tabla Impacto'!$D$12),"Menor",IF(OR(K55='[4]Tabla Impacto'!$C$13,K55='[4]Tabla Impacto'!$D$13),"Moderado",IF(OR(K55='[4]Tabla Impacto'!$C$14,K55='[4]Tabla Impacto'!$D$14),"Mayor",IF(OR(K55='[4]Tabla Impacto'!$C$15,K55='[4]Tabla Impacto'!$D$15),"Catastrófico","")))))</f>
        <v>Moderado</v>
      </c>
      <c r="M55" s="154">
        <f t="shared" si="86"/>
        <v>0.6</v>
      </c>
      <c r="N55" s="153" t="str">
        <f t="shared" si="87"/>
        <v>Moderado</v>
      </c>
      <c r="O55" s="5">
        <v>1</v>
      </c>
      <c r="P55" s="218" t="s">
        <v>327</v>
      </c>
      <c r="Q55" s="122" t="str">
        <f t="shared" si="78"/>
        <v>Probabilidad</v>
      </c>
      <c r="R55" s="124" t="s">
        <v>14</v>
      </c>
      <c r="S55" s="124" t="s">
        <v>10</v>
      </c>
      <c r="T55" s="125" t="str">
        <f t="shared" si="79"/>
        <v>50%</v>
      </c>
      <c r="U55" s="124" t="s">
        <v>19</v>
      </c>
      <c r="V55" s="124" t="s">
        <v>22</v>
      </c>
      <c r="W55" s="124" t="s">
        <v>119</v>
      </c>
      <c r="X55" s="126">
        <f t="shared" si="76"/>
        <v>0.3</v>
      </c>
      <c r="Y55" s="127" t="str">
        <f t="shared" si="80"/>
        <v>Baja</v>
      </c>
      <c r="Z55" s="128">
        <f t="shared" si="81"/>
        <v>0.3</v>
      </c>
      <c r="AA55" s="127" t="str">
        <f t="shared" si="82"/>
        <v>Moderado</v>
      </c>
      <c r="AB55" s="128">
        <f t="shared" si="83"/>
        <v>0.6</v>
      </c>
      <c r="AC55" s="129" t="str">
        <f t="shared" si="84"/>
        <v>Moderado</v>
      </c>
      <c r="AD55" s="130" t="s">
        <v>135</v>
      </c>
      <c r="AE55" s="219" t="s">
        <v>398</v>
      </c>
      <c r="AF55" s="220" t="s">
        <v>212</v>
      </c>
      <c r="AG55" s="196" t="s">
        <v>400</v>
      </c>
      <c r="AH55" s="198">
        <v>45809</v>
      </c>
      <c r="AI55" s="137" t="s">
        <v>401</v>
      </c>
      <c r="AJ55" s="136"/>
      <c r="AK55" s="136"/>
      <c r="AL55" s="121"/>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row r="56" spans="1:70" ht="151.5" customHeight="1" x14ac:dyDescent="0.3">
      <c r="A56" s="152">
        <v>30</v>
      </c>
      <c r="B56" s="199" t="s">
        <v>133</v>
      </c>
      <c r="C56" s="207" t="s">
        <v>281</v>
      </c>
      <c r="D56" s="207" t="s">
        <v>280</v>
      </c>
      <c r="E56" s="207" t="s">
        <v>279</v>
      </c>
      <c r="F56" s="218" t="s">
        <v>123</v>
      </c>
      <c r="G56" s="189">
        <v>100</v>
      </c>
      <c r="H56" s="209" t="str">
        <f t="shared" si="85"/>
        <v>Media</v>
      </c>
      <c r="I56" s="210">
        <f t="shared" si="77"/>
        <v>0.6</v>
      </c>
      <c r="J56" s="210" t="s">
        <v>153</v>
      </c>
      <c r="K56" s="210" t="s">
        <v>153</v>
      </c>
      <c r="L56" s="151" t="str">
        <f>IF(OR(K56='[4]Tabla Impacto'!$C$11,K56='[4]Tabla Impacto'!$D$11),"Leve",IF(OR(K56='[4]Tabla Impacto'!$C$12,K56='[4]Tabla Impacto'!$D$12),"Menor",IF(OR(K56='[4]Tabla Impacto'!$C$13,K56='[4]Tabla Impacto'!$D$13),"Moderado",IF(OR(K56='[4]Tabla Impacto'!$C$14,K56='[4]Tabla Impacto'!$D$14),"Mayor",IF(OR(K56='[4]Tabla Impacto'!$C$15,K56='[4]Tabla Impacto'!$D$15),"Catastrófico","")))))</f>
        <v>Mayor</v>
      </c>
      <c r="M56" s="154">
        <f t="shared" si="86"/>
        <v>0.8</v>
      </c>
      <c r="N56" s="153" t="str">
        <f t="shared" si="87"/>
        <v>Alto</v>
      </c>
      <c r="O56" s="5">
        <v>1</v>
      </c>
      <c r="P56" s="218" t="s">
        <v>328</v>
      </c>
      <c r="Q56" s="122" t="str">
        <f t="shared" si="78"/>
        <v>Probabilidad</v>
      </c>
      <c r="R56" s="124" t="s">
        <v>14</v>
      </c>
      <c r="S56" s="124" t="s">
        <v>9</v>
      </c>
      <c r="T56" s="125" t="str">
        <f t="shared" si="79"/>
        <v>40%</v>
      </c>
      <c r="U56" s="124" t="s">
        <v>19</v>
      </c>
      <c r="V56" s="124" t="s">
        <v>22</v>
      </c>
      <c r="W56" s="124" t="s">
        <v>119</v>
      </c>
      <c r="X56" s="126">
        <f t="shared" si="76"/>
        <v>0.36</v>
      </c>
      <c r="Y56" s="127" t="str">
        <f t="shared" si="80"/>
        <v>Baja</v>
      </c>
      <c r="Z56" s="128">
        <f t="shared" si="81"/>
        <v>0.36</v>
      </c>
      <c r="AA56" s="127" t="str">
        <f t="shared" si="82"/>
        <v>Mayor</v>
      </c>
      <c r="AB56" s="128">
        <f t="shared" si="83"/>
        <v>0.8</v>
      </c>
      <c r="AC56" s="129" t="str">
        <f t="shared" si="84"/>
        <v>Alto</v>
      </c>
      <c r="AD56" s="130" t="s">
        <v>136</v>
      </c>
      <c r="AE56" s="221" t="s">
        <v>329</v>
      </c>
      <c r="AF56" s="220" t="s">
        <v>212</v>
      </c>
      <c r="AG56" s="196" t="s">
        <v>400</v>
      </c>
      <c r="AH56" s="198">
        <v>45809</v>
      </c>
      <c r="AI56" s="137" t="s">
        <v>401</v>
      </c>
      <c r="AJ56" s="136"/>
      <c r="AK56" s="136"/>
      <c r="AL56" s="121"/>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row>
    <row r="57" spans="1:70" ht="151.5" customHeight="1" x14ac:dyDescent="0.3">
      <c r="A57" s="152">
        <v>31</v>
      </c>
      <c r="B57" s="199" t="s">
        <v>133</v>
      </c>
      <c r="C57" s="199" t="s">
        <v>282</v>
      </c>
      <c r="D57" s="199" t="s">
        <v>283</v>
      </c>
      <c r="E57" s="199" t="s">
        <v>284</v>
      </c>
      <c r="F57" s="218" t="s">
        <v>123</v>
      </c>
      <c r="G57" s="189">
        <v>100</v>
      </c>
      <c r="H57" s="209" t="str">
        <f t="shared" si="85"/>
        <v>Media</v>
      </c>
      <c r="I57" s="210">
        <f t="shared" si="77"/>
        <v>0.6</v>
      </c>
      <c r="J57" s="210" t="s">
        <v>153</v>
      </c>
      <c r="K57" s="217" t="s">
        <v>153</v>
      </c>
      <c r="L57" s="151" t="str">
        <f>IF(OR(K57='[4]Tabla Impacto'!$C$11,K57='[4]Tabla Impacto'!$D$11),"Leve",IF(OR(K57='[4]Tabla Impacto'!$C$12,K57='[4]Tabla Impacto'!$D$12),"Menor",IF(OR(K57='[4]Tabla Impacto'!$C$13,K57='[4]Tabla Impacto'!$D$13),"Moderado",IF(OR(K57='[4]Tabla Impacto'!$C$14,K57='[4]Tabla Impacto'!$D$14),"Mayor",IF(OR(K57='[4]Tabla Impacto'!$C$15,K57='[4]Tabla Impacto'!$D$15),"Catastrófico","")))))</f>
        <v>Mayor</v>
      </c>
      <c r="M57" s="154">
        <f t="shared" si="86"/>
        <v>0.8</v>
      </c>
      <c r="N57" s="153" t="str">
        <f t="shared" si="87"/>
        <v>Alto</v>
      </c>
      <c r="O57" s="5">
        <v>1</v>
      </c>
      <c r="P57" s="218" t="s">
        <v>330</v>
      </c>
      <c r="Q57" s="122" t="str">
        <f t="shared" si="78"/>
        <v>Probabilidad</v>
      </c>
      <c r="R57" s="124" t="s">
        <v>14</v>
      </c>
      <c r="S57" s="124" t="s">
        <v>9</v>
      </c>
      <c r="T57" s="125" t="str">
        <f t="shared" si="79"/>
        <v>40%</v>
      </c>
      <c r="U57" s="124" t="s">
        <v>19</v>
      </c>
      <c r="V57" s="124" t="s">
        <v>22</v>
      </c>
      <c r="W57" s="124" t="s">
        <v>119</v>
      </c>
      <c r="X57" s="126">
        <f t="shared" si="76"/>
        <v>0.36</v>
      </c>
      <c r="Y57" s="127" t="str">
        <f t="shared" si="80"/>
        <v>Baja</v>
      </c>
      <c r="Z57" s="128">
        <f t="shared" si="81"/>
        <v>0.36</v>
      </c>
      <c r="AA57" s="127" t="str">
        <f t="shared" si="82"/>
        <v>Mayor</v>
      </c>
      <c r="AB57" s="128">
        <f t="shared" si="83"/>
        <v>0.8</v>
      </c>
      <c r="AC57" s="129" t="str">
        <f t="shared" si="84"/>
        <v>Alto</v>
      </c>
      <c r="AD57" s="119" t="s">
        <v>135</v>
      </c>
      <c r="AE57" s="221" t="s">
        <v>399</v>
      </c>
      <c r="AF57" s="220" t="s">
        <v>212</v>
      </c>
      <c r="AG57" s="196" t="s">
        <v>400</v>
      </c>
      <c r="AH57" s="198">
        <v>45809</v>
      </c>
      <c r="AI57" s="137" t="s">
        <v>401</v>
      </c>
      <c r="AJ57" s="136"/>
      <c r="AK57" s="136"/>
      <c r="AL57" s="121"/>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row>
  </sheetData>
  <dataConsolidate/>
  <mergeCells count="372">
    <mergeCell ref="AB41:AB42"/>
    <mergeCell ref="AC41:AC42"/>
    <mergeCell ref="AD41:AD42"/>
    <mergeCell ref="AF41:AF42"/>
    <mergeCell ref="AH41:AH42"/>
    <mergeCell ref="S41:S42"/>
    <mergeCell ref="T41:T42"/>
    <mergeCell ref="U41:U42"/>
    <mergeCell ref="V41:V42"/>
    <mergeCell ref="W41:W42"/>
    <mergeCell ref="X41:X42"/>
    <mergeCell ref="Y41:Y42"/>
    <mergeCell ref="Z41:Z42"/>
    <mergeCell ref="AA41:AA42"/>
    <mergeCell ref="AA38:AA40"/>
    <mergeCell ref="AB38:AB40"/>
    <mergeCell ref="AC38:AC40"/>
    <mergeCell ref="AD38:AD40"/>
    <mergeCell ref="AF38:AF40"/>
    <mergeCell ref="AH38:AH40"/>
    <mergeCell ref="A41:A42"/>
    <mergeCell ref="B41:B42"/>
    <mergeCell ref="C41:C42"/>
    <mergeCell ref="D41:D42"/>
    <mergeCell ref="E41:E42"/>
    <mergeCell ref="F41:F42"/>
    <mergeCell ref="G41:G42"/>
    <mergeCell ref="H41:H42"/>
    <mergeCell ref="I41:I42"/>
    <mergeCell ref="J41:J42"/>
    <mergeCell ref="K41:K42"/>
    <mergeCell ref="L41:L42"/>
    <mergeCell ref="M41:M42"/>
    <mergeCell ref="N41:N42"/>
    <mergeCell ref="O41:O42"/>
    <mergeCell ref="P41:P42"/>
    <mergeCell ref="Q41:Q42"/>
    <mergeCell ref="R41:R42"/>
    <mergeCell ref="R38:R40"/>
    <mergeCell ref="S38:S40"/>
    <mergeCell ref="T38:T40"/>
    <mergeCell ref="U38:U40"/>
    <mergeCell ref="V38:V40"/>
    <mergeCell ref="W38:W40"/>
    <mergeCell ref="X38:X40"/>
    <mergeCell ref="Y38:Y40"/>
    <mergeCell ref="Z38:Z40"/>
    <mergeCell ref="AQ35:AQ37"/>
    <mergeCell ref="AR35:AR37"/>
    <mergeCell ref="AS35:AS37"/>
    <mergeCell ref="AT35:AT37"/>
    <mergeCell ref="AU35:AU37"/>
    <mergeCell ref="AV35:AV37"/>
    <mergeCell ref="AW35:AW37"/>
    <mergeCell ref="A38:A40"/>
    <mergeCell ref="B38:B40"/>
    <mergeCell ref="C38:C40"/>
    <mergeCell ref="D38:D40"/>
    <mergeCell ref="E38:E40"/>
    <mergeCell ref="F38:F40"/>
    <mergeCell ref="G38:G40"/>
    <mergeCell ref="H38:H40"/>
    <mergeCell ref="I38:I40"/>
    <mergeCell ref="J38:J40"/>
    <mergeCell ref="K38:K40"/>
    <mergeCell ref="L38:L40"/>
    <mergeCell ref="M38:M40"/>
    <mergeCell ref="N38:N40"/>
    <mergeCell ref="O38:O40"/>
    <mergeCell ref="P38:P40"/>
    <mergeCell ref="Q38:Q40"/>
    <mergeCell ref="AH35:AH37"/>
    <mergeCell ref="AJ35:AJ37"/>
    <mergeCell ref="AK35:AK37"/>
    <mergeCell ref="AL35:AL37"/>
    <mergeCell ref="AM35:AM37"/>
    <mergeCell ref="AN35:AN37"/>
    <mergeCell ref="AO35:AO37"/>
    <mergeCell ref="AP35:AP37"/>
    <mergeCell ref="W35:W37"/>
    <mergeCell ref="X35:X37"/>
    <mergeCell ref="Y35:Y37"/>
    <mergeCell ref="Z35:Z37"/>
    <mergeCell ref="AA35:AA37"/>
    <mergeCell ref="AB35:AB37"/>
    <mergeCell ref="AC35:AC37"/>
    <mergeCell ref="AD35:AD37"/>
    <mergeCell ref="AF35:AF37"/>
    <mergeCell ref="AF33:AF34"/>
    <mergeCell ref="AH33:AH34"/>
    <mergeCell ref="A35:A37"/>
    <mergeCell ref="B35:B37"/>
    <mergeCell ref="C35:C37"/>
    <mergeCell ref="D35:D37"/>
    <mergeCell ref="E35:E37"/>
    <mergeCell ref="F35:F37"/>
    <mergeCell ref="G35:G37"/>
    <mergeCell ref="H35:H37"/>
    <mergeCell ref="I35:I37"/>
    <mergeCell ref="J35:J37"/>
    <mergeCell ref="K35:K37"/>
    <mergeCell ref="L35:L37"/>
    <mergeCell ref="M35:M37"/>
    <mergeCell ref="N35:N37"/>
    <mergeCell ref="O35:O37"/>
    <mergeCell ref="P35:P37"/>
    <mergeCell ref="Q35:Q37"/>
    <mergeCell ref="R35:R37"/>
    <mergeCell ref="S35:S37"/>
    <mergeCell ref="T35:T37"/>
    <mergeCell ref="U35:U37"/>
    <mergeCell ref="V35:V37"/>
    <mergeCell ref="V33:V34"/>
    <mergeCell ref="W33:W34"/>
    <mergeCell ref="X33:X34"/>
    <mergeCell ref="Y33:Y34"/>
    <mergeCell ref="Z33:Z34"/>
    <mergeCell ref="AA33:AA34"/>
    <mergeCell ref="AB33:AB34"/>
    <mergeCell ref="AC33:AC34"/>
    <mergeCell ref="AD33:AD34"/>
    <mergeCell ref="AB31:AB32"/>
    <mergeCell ref="AC31:AC32"/>
    <mergeCell ref="AD31:AD32"/>
    <mergeCell ref="A33:A34"/>
    <mergeCell ref="B33:B34"/>
    <mergeCell ref="C33:C34"/>
    <mergeCell ref="D33:D34"/>
    <mergeCell ref="E33:E34"/>
    <mergeCell ref="F33:F34"/>
    <mergeCell ref="G33:G34"/>
    <mergeCell ref="H33:H34"/>
    <mergeCell ref="I33:I34"/>
    <mergeCell ref="J33:J34"/>
    <mergeCell ref="K33:K34"/>
    <mergeCell ref="L33:L34"/>
    <mergeCell ref="M33:M34"/>
    <mergeCell ref="N33:N34"/>
    <mergeCell ref="O33:O34"/>
    <mergeCell ref="P33:P34"/>
    <mergeCell ref="Q33:Q34"/>
    <mergeCell ref="R33:R34"/>
    <mergeCell ref="S33:S34"/>
    <mergeCell ref="T33:T34"/>
    <mergeCell ref="U33:U34"/>
    <mergeCell ref="S31:S32"/>
    <mergeCell ref="T31:T32"/>
    <mergeCell ref="U31:U32"/>
    <mergeCell ref="V31:V32"/>
    <mergeCell ref="W31:W32"/>
    <mergeCell ref="X31:X32"/>
    <mergeCell ref="Y31:Y32"/>
    <mergeCell ref="Z31:Z32"/>
    <mergeCell ref="AA31:AA32"/>
    <mergeCell ref="J31:J32"/>
    <mergeCell ref="K31:K32"/>
    <mergeCell ref="L31:L32"/>
    <mergeCell ref="M31:M32"/>
    <mergeCell ref="N31:N32"/>
    <mergeCell ref="O31:O32"/>
    <mergeCell ref="P31:P32"/>
    <mergeCell ref="Q31:Q32"/>
    <mergeCell ref="R31:R32"/>
    <mergeCell ref="A31:A32"/>
    <mergeCell ref="B31:B32"/>
    <mergeCell ref="C31:C32"/>
    <mergeCell ref="D31:D32"/>
    <mergeCell ref="E31:E32"/>
    <mergeCell ref="F31:F32"/>
    <mergeCell ref="G31:G32"/>
    <mergeCell ref="H31:H32"/>
    <mergeCell ref="I31:I32"/>
    <mergeCell ref="A1:AL2"/>
    <mergeCell ref="C4:N4"/>
    <mergeCell ref="O4:Q4"/>
    <mergeCell ref="A7:G7"/>
    <mergeCell ref="H7:N7"/>
    <mergeCell ref="O7:W7"/>
    <mergeCell ref="X7:AD7"/>
    <mergeCell ref="A4:B4"/>
    <mergeCell ref="A5:B5"/>
    <mergeCell ref="A6:B6"/>
    <mergeCell ref="C5:N5"/>
    <mergeCell ref="C6:N6"/>
    <mergeCell ref="O8:O9"/>
    <mergeCell ref="AC8:AC9"/>
    <mergeCell ref="AB8:AB9"/>
    <mergeCell ref="X8:X9"/>
    <mergeCell ref="P8:P9"/>
    <mergeCell ref="N8:N9"/>
    <mergeCell ref="J8:J9"/>
    <mergeCell ref="K8:K9"/>
    <mergeCell ref="Q8:Q9"/>
    <mergeCell ref="R8:W8"/>
    <mergeCell ref="G8:G9"/>
    <mergeCell ref="H8:H9"/>
    <mergeCell ref="I8:I9"/>
    <mergeCell ref="L8:L9"/>
    <mergeCell ref="M8:M9"/>
    <mergeCell ref="F8:F9"/>
    <mergeCell ref="AD8:AD9"/>
    <mergeCell ref="B8:B9"/>
    <mergeCell ref="AE8:AE9"/>
    <mergeCell ref="AL8:AL9"/>
    <mergeCell ref="AJ8:AJ9"/>
    <mergeCell ref="AI8:AI9"/>
    <mergeCell ref="AH8:AH9"/>
    <mergeCell ref="AG8:AG9"/>
    <mergeCell ref="AF8:AF9"/>
    <mergeCell ref="AA8:AA9"/>
    <mergeCell ref="Y8:Y9"/>
    <mergeCell ref="Z8:Z9"/>
    <mergeCell ref="AK8:AK9"/>
    <mergeCell ref="A10:A13"/>
    <mergeCell ref="B10:B13"/>
    <mergeCell ref="C10:C13"/>
    <mergeCell ref="D10:D13"/>
    <mergeCell ref="E10:E13"/>
    <mergeCell ref="F10:F13"/>
    <mergeCell ref="G10:G13"/>
    <mergeCell ref="H10:H13"/>
    <mergeCell ref="E8:E9"/>
    <mergeCell ref="D8:D9"/>
    <mergeCell ref="C8:C9"/>
    <mergeCell ref="A8:A9"/>
    <mergeCell ref="S10:S13"/>
    <mergeCell ref="T10:T13"/>
    <mergeCell ref="U10:U13"/>
    <mergeCell ref="V10:V13"/>
    <mergeCell ref="W10:W13"/>
    <mergeCell ref="X10:X13"/>
    <mergeCell ref="Y10:Y13"/>
    <mergeCell ref="Z10:Z13"/>
    <mergeCell ref="I10:I13"/>
    <mergeCell ref="J10:J13"/>
    <mergeCell ref="K10:K13"/>
    <mergeCell ref="L10:L13"/>
    <mergeCell ref="M10:M13"/>
    <mergeCell ref="N10:N13"/>
    <mergeCell ref="O10:O13"/>
    <mergeCell ref="P10:P13"/>
    <mergeCell ref="Q10:Q13"/>
    <mergeCell ref="AA10:AA13"/>
    <mergeCell ref="AB10:AB13"/>
    <mergeCell ref="AC10:AC13"/>
    <mergeCell ref="AD10:AD13"/>
    <mergeCell ref="AG10:AG13"/>
    <mergeCell ref="A14:A16"/>
    <mergeCell ref="B14:B16"/>
    <mergeCell ref="C14:C16"/>
    <mergeCell ref="D14:D16"/>
    <mergeCell ref="E14:E16"/>
    <mergeCell ref="F14:F16"/>
    <mergeCell ref="G14:G16"/>
    <mergeCell ref="H14:H16"/>
    <mergeCell ref="I14:I16"/>
    <mergeCell ref="J14:J16"/>
    <mergeCell ref="K14:K16"/>
    <mergeCell ref="L14:L16"/>
    <mergeCell ref="M14:M16"/>
    <mergeCell ref="N14:N16"/>
    <mergeCell ref="O14:O16"/>
    <mergeCell ref="P14:P16"/>
    <mergeCell ref="Q14:Q16"/>
    <mergeCell ref="R14:R16"/>
    <mergeCell ref="R10:R13"/>
    <mergeCell ref="S14:S16"/>
    <mergeCell ref="T14:T16"/>
    <mergeCell ref="U14:U16"/>
    <mergeCell ref="V14:V16"/>
    <mergeCell ref="W14:W16"/>
    <mergeCell ref="X14:X16"/>
    <mergeCell ref="Y14:Y16"/>
    <mergeCell ref="Z14:Z16"/>
    <mergeCell ref="AA14:AA16"/>
    <mergeCell ref="AB14:AB16"/>
    <mergeCell ref="AC14:AC16"/>
    <mergeCell ref="AD14:AD16"/>
    <mergeCell ref="AG14:AG16"/>
    <mergeCell ref="A17:A18"/>
    <mergeCell ref="B17:B18"/>
    <mergeCell ref="C17:C18"/>
    <mergeCell ref="D17:D18"/>
    <mergeCell ref="E17:E18"/>
    <mergeCell ref="F17:F18"/>
    <mergeCell ref="G17:G18"/>
    <mergeCell ref="H17:H18"/>
    <mergeCell ref="I17:I18"/>
    <mergeCell ref="J17:J18"/>
    <mergeCell ref="K17:K18"/>
    <mergeCell ref="L17:L18"/>
    <mergeCell ref="M17:M18"/>
    <mergeCell ref="N17:N18"/>
    <mergeCell ref="O17:O18"/>
    <mergeCell ref="P17:P18"/>
    <mergeCell ref="Q17:Q18"/>
    <mergeCell ref="R17:R18"/>
    <mergeCell ref="S17:S18"/>
    <mergeCell ref="T17:T18"/>
    <mergeCell ref="U17:U18"/>
    <mergeCell ref="V17:V18"/>
    <mergeCell ref="W17:W18"/>
    <mergeCell ref="X17:X18"/>
    <mergeCell ref="Y17:Y18"/>
    <mergeCell ref="Z17:Z18"/>
    <mergeCell ref="AA17:AA18"/>
    <mergeCell ref="AB17:AB18"/>
    <mergeCell ref="AC17:AC18"/>
    <mergeCell ref="K19:K21"/>
    <mergeCell ref="L19:L21"/>
    <mergeCell ref="M19:M21"/>
    <mergeCell ref="N19:N21"/>
    <mergeCell ref="O19:O21"/>
    <mergeCell ref="P19:P21"/>
    <mergeCell ref="Q19:Q21"/>
    <mergeCell ref="R19:R21"/>
    <mergeCell ref="S19:S21"/>
    <mergeCell ref="A19:A21"/>
    <mergeCell ref="B19:B21"/>
    <mergeCell ref="C19:C21"/>
    <mergeCell ref="D19:D21"/>
    <mergeCell ref="E19:E21"/>
    <mergeCell ref="F19:F21"/>
    <mergeCell ref="G19:G21"/>
    <mergeCell ref="H19:H21"/>
    <mergeCell ref="J19:J21"/>
    <mergeCell ref="Y19:Y21"/>
    <mergeCell ref="Z19:Z21"/>
    <mergeCell ref="AA19:AA21"/>
    <mergeCell ref="AB19:AB21"/>
    <mergeCell ref="AC19:AC21"/>
    <mergeCell ref="AD19:AD21"/>
    <mergeCell ref="AG19:AG21"/>
    <mergeCell ref="AD17:AD18"/>
    <mergeCell ref="AG17:AG18"/>
    <mergeCell ref="Q22:Q24"/>
    <mergeCell ref="R22:R24"/>
    <mergeCell ref="S22:S24"/>
    <mergeCell ref="T22:T24"/>
    <mergeCell ref="U22:U24"/>
    <mergeCell ref="V22:V24"/>
    <mergeCell ref="W22:W24"/>
    <mergeCell ref="W19:W21"/>
    <mergeCell ref="X19:X21"/>
    <mergeCell ref="T19:T21"/>
    <mergeCell ref="U19:U21"/>
    <mergeCell ref="V19:V21"/>
    <mergeCell ref="X22:X24"/>
    <mergeCell ref="I19:I21"/>
    <mergeCell ref="Y22:Y24"/>
    <mergeCell ref="Z22:Z24"/>
    <mergeCell ref="AA22:AA24"/>
    <mergeCell ref="AB22:AB24"/>
    <mergeCell ref="AC22:AC24"/>
    <mergeCell ref="AD22:AD24"/>
    <mergeCell ref="AG22:AG24"/>
    <mergeCell ref="A22:A24"/>
    <mergeCell ref="B22:B24"/>
    <mergeCell ref="C22:C24"/>
    <mergeCell ref="D22:D24"/>
    <mergeCell ref="E22:E24"/>
    <mergeCell ref="F22:F24"/>
    <mergeCell ref="G22:G24"/>
    <mergeCell ref="H22:H24"/>
    <mergeCell ref="J22:J24"/>
    <mergeCell ref="I22:I24"/>
    <mergeCell ref="K22:K24"/>
    <mergeCell ref="L22:L24"/>
    <mergeCell ref="M22:M24"/>
    <mergeCell ref="N22:N24"/>
    <mergeCell ref="O22:O24"/>
    <mergeCell ref="P22:P24"/>
  </mergeCells>
  <phoneticPr fontId="64" type="noConversion"/>
  <conditionalFormatting sqref="H10 Y10 H14 Y14 H17 Y17 H19 Y19 H22 Y22 Y43:Y57">
    <cfRule type="cellIs" dxfId="184" priority="1298" operator="equal">
      <formula>"Muy Alta"</formula>
    </cfRule>
    <cfRule type="cellIs" dxfId="183" priority="1299" operator="equal">
      <formula>"Alta"</formula>
    </cfRule>
    <cfRule type="cellIs" dxfId="182" priority="1300" operator="equal">
      <formula>"Media"</formula>
    </cfRule>
    <cfRule type="cellIs" dxfId="181" priority="1301" operator="equal">
      <formula>"Baja"</formula>
    </cfRule>
    <cfRule type="cellIs" dxfId="180" priority="1302" operator="equal">
      <formula>"Muy Baja"</formula>
    </cfRule>
  </conditionalFormatting>
  <conditionalFormatting sqref="H25:H31">
    <cfRule type="cellIs" dxfId="179" priority="221" operator="equal">
      <formula>"Muy Alta"</formula>
    </cfRule>
    <cfRule type="cellIs" dxfId="178" priority="222" operator="equal">
      <formula>"Alta"</formula>
    </cfRule>
    <cfRule type="cellIs" dxfId="177" priority="223" operator="equal">
      <formula>"Media"</formula>
    </cfRule>
    <cfRule type="cellIs" dxfId="176" priority="224" operator="equal">
      <formula>"Baja"</formula>
    </cfRule>
    <cfRule type="cellIs" dxfId="175" priority="225" operator="equal">
      <formula>"Muy Baja"</formula>
    </cfRule>
  </conditionalFormatting>
  <conditionalFormatting sqref="H41 H43:H52">
    <cfRule type="cellIs" dxfId="174" priority="149" operator="equal">
      <formula>"Muy Alta"</formula>
    </cfRule>
    <cfRule type="cellIs" dxfId="173" priority="150" operator="equal">
      <formula>"Alta"</formula>
    </cfRule>
    <cfRule type="cellIs" dxfId="172" priority="151" operator="equal">
      <formula>"Media"</formula>
    </cfRule>
    <cfRule type="cellIs" dxfId="171" priority="152" operator="equal">
      <formula>"Baja"</formula>
    </cfRule>
    <cfRule type="cellIs" dxfId="170" priority="153" operator="equal">
      <formula>"Muy Baja"</formula>
    </cfRule>
  </conditionalFormatting>
  <conditionalFormatting sqref="H53:H57">
    <cfRule type="cellIs" dxfId="169" priority="30" operator="equal">
      <formula>"Muy Alta"</formula>
    </cfRule>
    <cfRule type="cellIs" dxfId="168" priority="31" operator="equal">
      <formula>"Alta"</formula>
    </cfRule>
    <cfRule type="cellIs" dxfId="167" priority="32" operator="equal">
      <formula>"Media"</formula>
    </cfRule>
    <cfRule type="cellIs" dxfId="166" priority="33" operator="equal">
      <formula>"Baja"</formula>
    </cfRule>
    <cfRule type="cellIs" dxfId="165" priority="34" operator="equal">
      <formula>"Muy Baja"</formula>
    </cfRule>
  </conditionalFormatting>
  <conditionalFormatting sqref="K10 K14 K17 K19 K22">
    <cfRule type="containsText" dxfId="164" priority="980" operator="containsText" text="❌">
      <formula>NOT(ISERROR(SEARCH("❌",K10)))</formula>
    </cfRule>
  </conditionalFormatting>
  <conditionalFormatting sqref="K25:K29 K31">
    <cfRule type="containsText" dxfId="163" priority="196" operator="containsText" text="❌">
      <formula>NOT(ISERROR(SEARCH("❌",K25)))</formula>
    </cfRule>
  </conditionalFormatting>
  <conditionalFormatting sqref="K33 K35:K36 K38:K39 K41">
    <cfRule type="containsText" dxfId="162" priority="197" operator="containsText" text="❌">
      <formula>NOT(ISERROR(SEARCH("❌",K33)))</formula>
    </cfRule>
  </conditionalFormatting>
  <conditionalFormatting sqref="K43:K57">
    <cfRule type="containsText" dxfId="161" priority="35" operator="containsText" text="❌">
      <formula>NOT(ISERROR(SEARCH(("❌"),(K43))))</formula>
    </cfRule>
  </conditionalFormatting>
  <conditionalFormatting sqref="L10 AA10 L14 AA14 L17 AA17 L19 AA19 L22 AA22">
    <cfRule type="cellIs" dxfId="160" priority="1293" operator="equal">
      <formula>"Catastrófico"</formula>
    </cfRule>
    <cfRule type="cellIs" dxfId="159" priority="1294" operator="equal">
      <formula>"Mayor"</formula>
    </cfRule>
    <cfRule type="cellIs" dxfId="158" priority="1295" operator="equal">
      <formula>"Moderado"</formula>
    </cfRule>
    <cfRule type="cellIs" dxfId="157" priority="1296" operator="equal">
      <formula>"Menor"</formula>
    </cfRule>
    <cfRule type="cellIs" dxfId="156" priority="1297" operator="equal">
      <formula>"Leve"</formula>
    </cfRule>
  </conditionalFormatting>
  <conditionalFormatting sqref="L31 L25:L29">
    <cfRule type="cellIs" dxfId="155" priority="186" operator="equal">
      <formula>"Catastrófico"</formula>
    </cfRule>
    <cfRule type="cellIs" dxfId="154" priority="187" operator="equal">
      <formula>"Mayor"</formula>
    </cfRule>
    <cfRule type="cellIs" dxfId="153" priority="188" operator="equal">
      <formula>"Moderado"</formula>
    </cfRule>
    <cfRule type="cellIs" dxfId="152" priority="189" operator="equal">
      <formula>"Menor"</formula>
    </cfRule>
    <cfRule type="cellIs" dxfId="151" priority="190" operator="equal">
      <formula>"Leve"</formula>
    </cfRule>
  </conditionalFormatting>
  <conditionalFormatting sqref="L33">
    <cfRule type="cellIs" dxfId="150" priority="120" operator="equal">
      <formula>"Catastrófico"</formula>
    </cfRule>
    <cfRule type="cellIs" dxfId="149" priority="121" operator="equal">
      <formula>"Mayor"</formula>
    </cfRule>
    <cfRule type="cellIs" dxfId="148" priority="122" operator="equal">
      <formula>"Moderado"</formula>
    </cfRule>
    <cfRule type="cellIs" dxfId="147" priority="123" operator="equal">
      <formula>"Menor"</formula>
    </cfRule>
    <cfRule type="cellIs" dxfId="146" priority="124" operator="equal">
      <formula>"Leve"</formula>
    </cfRule>
  </conditionalFormatting>
  <conditionalFormatting sqref="L35:L36">
    <cfRule type="cellIs" dxfId="145" priority="73" operator="equal">
      <formula>"Catastrófico"</formula>
    </cfRule>
    <cfRule type="cellIs" dxfId="144" priority="74" operator="equal">
      <formula>"Mayor"</formula>
    </cfRule>
    <cfRule type="cellIs" dxfId="143" priority="75" operator="equal">
      <formula>"Moderado"</formula>
    </cfRule>
    <cfRule type="cellIs" dxfId="142" priority="76" operator="equal">
      <formula>"Menor"</formula>
    </cfRule>
    <cfRule type="cellIs" dxfId="141" priority="77" operator="equal">
      <formula>"Leve"</formula>
    </cfRule>
  </conditionalFormatting>
  <conditionalFormatting sqref="L38:L39">
    <cfRule type="cellIs" dxfId="140" priority="45" operator="equal">
      <formula>"Catastrófico"</formula>
    </cfRule>
    <cfRule type="cellIs" dxfId="139" priority="46" operator="equal">
      <formula>"Mayor"</formula>
    </cfRule>
    <cfRule type="cellIs" dxfId="138" priority="47" operator="equal">
      <formula>"Moderado"</formula>
    </cfRule>
    <cfRule type="cellIs" dxfId="137" priority="48" operator="equal">
      <formula>"Menor"</formula>
    </cfRule>
    <cfRule type="cellIs" dxfId="136" priority="49" operator="equal">
      <formula>"Leve"</formula>
    </cfRule>
  </conditionalFormatting>
  <conditionalFormatting sqref="L41">
    <cfRule type="cellIs" dxfId="135" priority="125" operator="equal">
      <formula>"Catastrófico"</formula>
    </cfRule>
    <cfRule type="cellIs" dxfId="134" priority="126" operator="equal">
      <formula>"Mayor"</formula>
    </cfRule>
    <cfRule type="cellIs" dxfId="133" priority="127" operator="equal">
      <formula>"Moderado"</formula>
    </cfRule>
    <cfRule type="cellIs" dxfId="132" priority="128" operator="equal">
      <formula>"Menor"</formula>
    </cfRule>
    <cfRule type="cellIs" dxfId="131" priority="129" operator="equal">
      <formula>"Leve"</formula>
    </cfRule>
  </conditionalFormatting>
  <conditionalFormatting sqref="L43:L57 AA43:AA57">
    <cfRule type="cellIs" dxfId="130" priority="592" operator="equal">
      <formula>"Catastrófico"</formula>
    </cfRule>
    <cfRule type="cellIs" dxfId="129" priority="593" operator="equal">
      <formula>"Mayor"</formula>
    </cfRule>
    <cfRule type="cellIs" dxfId="128" priority="594" operator="equal">
      <formula>"Moderado"</formula>
    </cfRule>
    <cfRule type="cellIs" dxfId="127" priority="595" operator="equal">
      <formula>"Menor"</formula>
    </cfRule>
    <cfRule type="cellIs" dxfId="126" priority="596" operator="equal">
      <formula>"Leve"</formula>
    </cfRule>
  </conditionalFormatting>
  <conditionalFormatting sqref="N10 AC10 N14 AC14 N17 AC17 N19 AC19 N22 AC22 N53:N57 AC43:AC57">
    <cfRule type="cellIs" dxfId="125" priority="1289" operator="equal">
      <formula>"Extremo"</formula>
    </cfRule>
    <cfRule type="cellIs" dxfId="124" priority="1290" operator="equal">
      <formula>"Alto"</formula>
    </cfRule>
    <cfRule type="cellIs" dxfId="123" priority="1291" operator="equal">
      <formula>"Moderado"</formula>
    </cfRule>
    <cfRule type="cellIs" dxfId="122" priority="1292" operator="equal">
      <formula>"Bajo"</formula>
    </cfRule>
  </conditionalFormatting>
  <conditionalFormatting sqref="N25:N31 N33 N35 N38 N41">
    <cfRule type="cellIs" dxfId="121" priority="182" operator="equal">
      <formula>"Extremo"</formula>
    </cfRule>
    <cfRule type="cellIs" dxfId="120" priority="183" operator="equal">
      <formula>"Alto"</formula>
    </cfRule>
    <cfRule type="cellIs" dxfId="119" priority="184" operator="equal">
      <formula>"Moderado"</formula>
    </cfRule>
    <cfRule type="cellIs" dxfId="118" priority="185" operator="equal">
      <formula>"Bajo"</formula>
    </cfRule>
  </conditionalFormatting>
  <conditionalFormatting sqref="N43:N52">
    <cfRule type="cellIs" dxfId="117" priority="316" operator="equal">
      <formula>"Extremo"</formula>
    </cfRule>
    <cfRule type="cellIs" dxfId="116" priority="317" operator="equal">
      <formula>"Alto"</formula>
    </cfRule>
    <cfRule type="cellIs" dxfId="115" priority="318" operator="equal">
      <formula>"Moderado"</formula>
    </cfRule>
    <cfRule type="cellIs" dxfId="114" priority="319" operator="equal">
      <formula>"Bajo"</formula>
    </cfRule>
  </conditionalFormatting>
  <conditionalFormatting sqref="Y25:Y31">
    <cfRule type="cellIs" dxfId="113" priority="168" operator="equal">
      <formula>"Muy Alta"</formula>
    </cfRule>
    <cfRule type="cellIs" dxfId="112" priority="169" operator="equal">
      <formula>"Alta"</formula>
    </cfRule>
    <cfRule type="cellIs" dxfId="111" priority="170" operator="equal">
      <formula>"Media"</formula>
    </cfRule>
    <cfRule type="cellIs" dxfId="110" priority="171" operator="equal">
      <formula>"Baja"</formula>
    </cfRule>
    <cfRule type="cellIs" dxfId="109" priority="172" operator="equal">
      <formula>"Muy Baja"</formula>
    </cfRule>
  </conditionalFormatting>
  <conditionalFormatting sqref="Y33">
    <cfRule type="cellIs" dxfId="108" priority="154" operator="equal">
      <formula>"Muy Alta"</formula>
    </cfRule>
    <cfRule type="cellIs" dxfId="107" priority="155" operator="equal">
      <formula>"Alta"</formula>
    </cfRule>
    <cfRule type="cellIs" dxfId="106" priority="156" operator="equal">
      <formula>"Media"</formula>
    </cfRule>
    <cfRule type="cellIs" dxfId="105" priority="157" operator="equal">
      <formula>"Baja"</formula>
    </cfRule>
    <cfRule type="cellIs" dxfId="104" priority="158" operator="equal">
      <formula>"Muy Baja"</formula>
    </cfRule>
  </conditionalFormatting>
  <conditionalFormatting sqref="Y35:Y36">
    <cfRule type="cellIs" dxfId="103" priority="78" operator="equal">
      <formula>"Muy Alta"</formula>
    </cfRule>
    <cfRule type="cellIs" dxfId="102" priority="79" operator="equal">
      <formula>"Alta"</formula>
    </cfRule>
    <cfRule type="cellIs" dxfId="101" priority="80" operator="equal">
      <formula>"Media"</formula>
    </cfRule>
    <cfRule type="cellIs" dxfId="100" priority="81" operator="equal">
      <formula>"Baja"</formula>
    </cfRule>
    <cfRule type="cellIs" dxfId="99" priority="82" operator="equal">
      <formula>"Muy Baja"</formula>
    </cfRule>
  </conditionalFormatting>
  <conditionalFormatting sqref="Y38:Y39">
    <cfRule type="cellIs" dxfId="98" priority="50" operator="equal">
      <formula>"Muy Alta"</formula>
    </cfRule>
    <cfRule type="cellIs" dxfId="97" priority="51" operator="equal">
      <formula>"Alta"</formula>
    </cfRule>
    <cfRule type="cellIs" dxfId="96" priority="52" operator="equal">
      <formula>"Media"</formula>
    </cfRule>
    <cfRule type="cellIs" dxfId="95" priority="53" operator="equal">
      <formula>"Baja"</formula>
    </cfRule>
    <cfRule type="cellIs" dxfId="94" priority="54" operator="equal">
      <formula>"Muy Baja"</formula>
    </cfRule>
  </conditionalFormatting>
  <conditionalFormatting sqref="Y41">
    <cfRule type="cellIs" dxfId="93" priority="135" operator="equal">
      <formula>"Muy Alta"</formula>
    </cfRule>
    <cfRule type="cellIs" dxfId="92" priority="136" operator="equal">
      <formula>"Alta"</formula>
    </cfRule>
    <cfRule type="cellIs" dxfId="91" priority="137" operator="equal">
      <formula>"Media"</formula>
    </cfRule>
    <cfRule type="cellIs" dxfId="90" priority="138" operator="equal">
      <formula>"Baja"</formula>
    </cfRule>
    <cfRule type="cellIs" dxfId="89" priority="139" operator="equal">
      <formula>"Muy Baja"</formula>
    </cfRule>
  </conditionalFormatting>
  <conditionalFormatting sqref="AA25:AA31">
    <cfRule type="cellIs" dxfId="88" priority="177" operator="equal">
      <formula>"Catastrófico"</formula>
    </cfRule>
    <cfRule type="cellIs" dxfId="87" priority="178" operator="equal">
      <formula>"Mayor"</formula>
    </cfRule>
    <cfRule type="cellIs" dxfId="86" priority="179" operator="equal">
      <formula>"Moderado"</formula>
    </cfRule>
    <cfRule type="cellIs" dxfId="85" priority="180" operator="equal">
      <formula>"Menor"</formula>
    </cfRule>
    <cfRule type="cellIs" dxfId="84" priority="181" operator="equal">
      <formula>"Leve"</formula>
    </cfRule>
  </conditionalFormatting>
  <conditionalFormatting sqref="AA33">
    <cfRule type="cellIs" dxfId="83" priority="163" operator="equal">
      <formula>"Catastrófico"</formula>
    </cfRule>
    <cfRule type="cellIs" dxfId="82" priority="164" operator="equal">
      <formula>"Mayor"</formula>
    </cfRule>
    <cfRule type="cellIs" dxfId="81" priority="165" operator="equal">
      <formula>"Moderado"</formula>
    </cfRule>
    <cfRule type="cellIs" dxfId="80" priority="166" operator="equal">
      <formula>"Menor"</formula>
    </cfRule>
    <cfRule type="cellIs" dxfId="79" priority="167" operator="equal">
      <formula>"Leve"</formula>
    </cfRule>
  </conditionalFormatting>
  <conditionalFormatting sqref="AA35:AA36">
    <cfRule type="cellIs" dxfId="78" priority="87" operator="equal">
      <formula>"Catastrófico"</formula>
    </cfRule>
    <cfRule type="cellIs" dxfId="77" priority="88" operator="equal">
      <formula>"Mayor"</formula>
    </cfRule>
    <cfRule type="cellIs" dxfId="76" priority="89" operator="equal">
      <formula>"Moderado"</formula>
    </cfRule>
    <cfRule type="cellIs" dxfId="75" priority="90" operator="equal">
      <formula>"Menor"</formula>
    </cfRule>
    <cfRule type="cellIs" dxfId="74" priority="91" operator="equal">
      <formula>"Leve"</formula>
    </cfRule>
  </conditionalFormatting>
  <conditionalFormatting sqref="AA38:AA39">
    <cfRule type="cellIs" dxfId="73" priority="59" operator="equal">
      <formula>"Catastrófico"</formula>
    </cfRule>
    <cfRule type="cellIs" dxfId="72" priority="60" operator="equal">
      <formula>"Mayor"</formula>
    </cfRule>
    <cfRule type="cellIs" dxfId="71" priority="61" operator="equal">
      <formula>"Moderado"</formula>
    </cfRule>
    <cfRule type="cellIs" dxfId="70" priority="62" operator="equal">
      <formula>"Menor"</formula>
    </cfRule>
    <cfRule type="cellIs" dxfId="69" priority="63" operator="equal">
      <formula>"Leve"</formula>
    </cfRule>
  </conditionalFormatting>
  <conditionalFormatting sqref="AA41">
    <cfRule type="cellIs" dxfId="68" priority="144" operator="equal">
      <formula>"Catastrófico"</formula>
    </cfRule>
    <cfRule type="cellIs" dxfId="67" priority="145" operator="equal">
      <formula>"Mayor"</formula>
    </cfRule>
    <cfRule type="cellIs" dxfId="66" priority="146" operator="equal">
      <formula>"Moderado"</formula>
    </cfRule>
    <cfRule type="cellIs" dxfId="65" priority="147" operator="equal">
      <formula>"Menor"</formula>
    </cfRule>
    <cfRule type="cellIs" dxfId="64" priority="148" operator="equal">
      <formula>"Leve"</formula>
    </cfRule>
  </conditionalFormatting>
  <conditionalFormatting sqref="AC25:AC31">
    <cfRule type="cellIs" dxfId="63" priority="173" operator="equal">
      <formula>"Extremo"</formula>
    </cfRule>
    <cfRule type="cellIs" dxfId="62" priority="174" operator="equal">
      <formula>"Alto"</formula>
    </cfRule>
    <cfRule type="cellIs" dxfId="61" priority="175" operator="equal">
      <formula>"Moderado"</formula>
    </cfRule>
    <cfRule type="cellIs" dxfId="60" priority="176" operator="equal">
      <formula>"Bajo"</formula>
    </cfRule>
  </conditionalFormatting>
  <conditionalFormatting sqref="AC33">
    <cfRule type="cellIs" dxfId="59" priority="159" operator="equal">
      <formula>"Extremo"</formula>
    </cfRule>
    <cfRule type="cellIs" dxfId="58" priority="160" operator="equal">
      <formula>"Alto"</formula>
    </cfRule>
    <cfRule type="cellIs" dxfId="57" priority="161" operator="equal">
      <formula>"Moderado"</formula>
    </cfRule>
    <cfRule type="cellIs" dxfId="56" priority="162" operator="equal">
      <formula>"Bajo"</formula>
    </cfRule>
  </conditionalFormatting>
  <conditionalFormatting sqref="AC35:AC36">
    <cfRule type="cellIs" dxfId="55" priority="83" operator="equal">
      <formula>"Extremo"</formula>
    </cfRule>
    <cfRule type="cellIs" dxfId="54" priority="84" operator="equal">
      <formula>"Alto"</formula>
    </cfRule>
    <cfRule type="cellIs" dxfId="53" priority="85" operator="equal">
      <formula>"Moderado"</formula>
    </cfRule>
    <cfRule type="cellIs" dxfId="52" priority="86" operator="equal">
      <formula>"Bajo"</formula>
    </cfRule>
  </conditionalFormatting>
  <conditionalFormatting sqref="AC38:AC39">
    <cfRule type="cellIs" dxfId="51" priority="55" operator="equal">
      <formula>"Extremo"</formula>
    </cfRule>
    <cfRule type="cellIs" dxfId="50" priority="56" operator="equal">
      <formula>"Alto"</formula>
    </cfRule>
    <cfRule type="cellIs" dxfId="49" priority="57" operator="equal">
      <formula>"Moderado"</formula>
    </cfRule>
    <cfRule type="cellIs" dxfId="48" priority="58" operator="equal">
      <formula>"Bajo"</formula>
    </cfRule>
  </conditionalFormatting>
  <conditionalFormatting sqref="AC41">
    <cfRule type="cellIs" dxfId="47" priority="140" operator="equal">
      <formula>"Extremo"</formula>
    </cfRule>
    <cfRule type="cellIs" dxfId="46" priority="141" operator="equal">
      <formula>"Alto"</formula>
    </cfRule>
    <cfRule type="cellIs" dxfId="45" priority="142" operator="equal">
      <formula>"Moderado"</formula>
    </cfRule>
    <cfRule type="cellIs" dxfId="44" priority="143" operator="equal">
      <formula>"Bajo"</formula>
    </cfRule>
  </conditionalFormatting>
  <conditionalFormatting sqref="AE35:AE36">
    <cfRule type="cellIs" dxfId="43" priority="92" operator="equal">
      <formula>"Catastrófico"</formula>
    </cfRule>
    <cfRule type="cellIs" dxfId="42" priority="93" operator="equal">
      <formula>"Mayor"</formula>
    </cfRule>
    <cfRule type="cellIs" dxfId="41" priority="94" operator="equal">
      <formula>"Moderado"</formula>
    </cfRule>
    <cfRule type="cellIs" dxfId="40" priority="95" operator="equal">
      <formula>"Menor"</formula>
    </cfRule>
    <cfRule type="cellIs" dxfId="39" priority="96" operator="equal">
      <formula>"Leve"</formula>
    </cfRule>
  </conditionalFormatting>
  <conditionalFormatting sqref="AR35:AR36">
    <cfRule type="cellIs" dxfId="38" priority="97" operator="equal">
      <formula>"Muy Alta"</formula>
    </cfRule>
    <cfRule type="cellIs" dxfId="37" priority="98" operator="equal">
      <formula>"Alta"</formula>
    </cfRule>
    <cfRule type="cellIs" dxfId="36" priority="99" operator="equal">
      <formula>"Media"</formula>
    </cfRule>
    <cfRule type="cellIs" dxfId="35" priority="100" operator="equal">
      <formula>"Baja"</formula>
    </cfRule>
    <cfRule type="cellIs" dxfId="34" priority="101" operator="equal">
      <formula>"Muy Baja"</formula>
    </cfRule>
  </conditionalFormatting>
  <conditionalFormatting sqref="AT35:AT36">
    <cfRule type="cellIs" dxfId="33" priority="106" operator="equal">
      <formula>"Catastrófico"</formula>
    </cfRule>
    <cfRule type="cellIs" dxfId="32" priority="107" operator="equal">
      <formula>"Mayor"</formula>
    </cfRule>
    <cfRule type="cellIs" dxfId="31" priority="108" operator="equal">
      <formula>"Moderado"</formula>
    </cfRule>
    <cfRule type="cellIs" dxfId="30" priority="109" operator="equal">
      <formula>"Menor"</formula>
    </cfRule>
    <cfRule type="cellIs" dxfId="29" priority="110" operator="equal">
      <formula>"Leve"</formula>
    </cfRule>
  </conditionalFormatting>
  <conditionalFormatting sqref="AV35:AV36">
    <cfRule type="cellIs" dxfId="28" priority="102" operator="equal">
      <formula>"Extremo"</formula>
    </cfRule>
    <cfRule type="cellIs" dxfId="27" priority="103" operator="equal">
      <formula>"Alto"</formula>
    </cfRule>
    <cfRule type="cellIs" dxfId="26" priority="104" operator="equal">
      <formula>"Moderado"</formula>
    </cfRule>
    <cfRule type="cellIs" dxfId="25" priority="105" operator="equal">
      <formula>"Bajo"</formula>
    </cfRule>
  </conditionalFormatting>
  <conditionalFormatting sqref="K30">
    <cfRule type="containsText" dxfId="24" priority="21" operator="containsText" text="❌">
      <formula>NOT(ISERROR(SEARCH("❌",K30)))</formula>
    </cfRule>
  </conditionalFormatting>
  <conditionalFormatting sqref="L30">
    <cfRule type="cellIs" dxfId="23" priority="16" operator="equal">
      <formula>"Catastrófico"</formula>
    </cfRule>
    <cfRule type="cellIs" dxfId="22" priority="17" operator="equal">
      <formula>"Mayor"</formula>
    </cfRule>
    <cfRule type="cellIs" dxfId="21" priority="18" operator="equal">
      <formula>"Moderado"</formula>
    </cfRule>
    <cfRule type="cellIs" dxfId="20" priority="19" operator="equal">
      <formula>"Menor"</formula>
    </cfRule>
    <cfRule type="cellIs" dxfId="19" priority="20" operator="equal">
      <formula>"Leve"</formula>
    </cfRule>
  </conditionalFormatting>
  <conditionalFormatting sqref="H33">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H35">
    <cfRule type="cellIs" dxfId="13" priority="6" operator="equal">
      <formula>"Muy Alta"</formula>
    </cfRule>
    <cfRule type="cellIs" dxfId="12" priority="7" operator="equal">
      <formula>"Alta"</formula>
    </cfRule>
    <cfRule type="cellIs" dxfId="11" priority="8" operator="equal">
      <formula>"Media"</formula>
    </cfRule>
    <cfRule type="cellIs" dxfId="10" priority="9" operator="equal">
      <formula>"Baja"</formula>
    </cfRule>
    <cfRule type="cellIs" dxfId="9" priority="10" operator="equal">
      <formula>"Muy Baja"</formula>
    </cfRule>
  </conditionalFormatting>
  <conditionalFormatting sqref="H38">
    <cfRule type="cellIs" dxfId="8" priority="1" operator="equal">
      <formula>"Muy Alta"</formula>
    </cfRule>
    <cfRule type="cellIs" dxfId="7" priority="2" operator="equal">
      <formula>"Alta"</formula>
    </cfRule>
    <cfRule type="cellIs" dxfId="6" priority="3" operator="equal">
      <formula>"Media"</formula>
    </cfRule>
    <cfRule type="cellIs" dxfId="5" priority="4" operator="equal">
      <formula>"Baja"</formula>
    </cfRule>
    <cfRule type="cellIs" dxfId="4" priority="5" operator="equal">
      <formula>"Muy Baja"</formula>
    </cfRule>
  </conditionalFormatting>
  <dataValidations count="2">
    <dataValidation allowBlank="1" showInputMessage="1" showErrorMessage="1" error="Recuerde que las acciones se generan bajo la medida de mitigar el riesgo" sqref="AH41:AI41 AH20:AH33 AJ16:AJ17 AE13:AE17 AH35:AH39 AH13:AI18 AI19:AI20 AI42:AI57 AI24:AI40 AE25:AE42"/>
    <dataValidation showInputMessage="1" showErrorMessage="1" error="Recuerde que las acciones se generan bajo la medida de mitigar el riesgo" sqref="AG10 AG14 AG17 AG19 AG22 AG25:AG4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'Opciones Tratamiento'!$B$9:$B$10</xm:f>
          </x14:formula1>
          <xm:sqref>AL13:AL17 AL26:AL27 AL21:AL24 AL43:AL44 AL46:AL47 AL49:AL50 AL52:AL55 AL57 AL29</xm:sqref>
        </x14:dataValidation>
        <x14:dataValidation type="custom" allowBlank="1" showInputMessage="1" showErrorMessage="1" error="Recuerde que las acciones se generan bajo la medida de mitigar el riesgo">
          <x14:formula1>
            <xm:f>IF(OR(AD25='Opciones Tratamiento'!$B$2,AD25='Opciones Tratamiento'!$B$3,AD25='Opciones Tratamiento'!$B$4),ISBLANK(AD25),ISTEXT(AD25))</xm:f>
          </x14:formula1>
          <xm:sqref>AJ25:AK29 AJ43:AK57</xm:sqref>
        </x14:dataValidation>
        <x14:dataValidation type="list" allowBlank="1" showInputMessage="1" showErrorMessage="1">
          <x14:formula1>
            <xm:f>'Opciones Tratamiento'!$B$13:$B$19</xm:f>
          </x14:formula1>
          <xm:sqref>F25:F29</xm:sqref>
        </x14:dataValidation>
        <x14:dataValidation type="list" allowBlank="1" showInputMessage="1" showErrorMessage="1">
          <x14:formula1>
            <xm:f>'Tabla Impacto'!$F$210:$F$221</xm:f>
          </x14:formula1>
          <xm:sqref>J25 J27:J29</xm:sqref>
        </x14:dataValidation>
        <x14:dataValidation type="list" allowBlank="1" showInputMessage="1" showErrorMessage="1">
          <x14:formula1>
            <xm:f>'Opciones Tratamiento'!$E$2:$E$4</xm:f>
          </x14:formula1>
          <xm:sqref>B14 B17 B19 B22 B25:B29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S60" sqref="S60"/>
    </sheetView>
  </sheetViews>
  <sheetFormatPr baseColWidth="10" defaultRowHeight="15" x14ac:dyDescent="0.25"/>
  <cols>
    <col min="2" max="39" width="5.5703125" customWidth="1"/>
    <col min="41" max="46" width="5.5703125" customWidth="1"/>
  </cols>
  <sheetData>
    <row r="1" spans="1:99" x14ac:dyDescent="0.25">
      <c r="A1" s="79"/>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row>
    <row r="2" spans="1:99" ht="18" customHeight="1" x14ac:dyDescent="0.25">
      <c r="A2" s="79"/>
      <c r="B2" s="359" t="s">
        <v>158</v>
      </c>
      <c r="C2" s="359"/>
      <c r="D2" s="359"/>
      <c r="E2" s="359"/>
      <c r="F2" s="359"/>
      <c r="G2" s="359"/>
      <c r="H2" s="359"/>
      <c r="I2" s="359"/>
      <c r="J2" s="396" t="s">
        <v>2</v>
      </c>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row>
    <row r="3" spans="1:99" ht="18.75" customHeight="1" x14ac:dyDescent="0.25">
      <c r="A3" s="79"/>
      <c r="B3" s="359"/>
      <c r="C3" s="359"/>
      <c r="D3" s="359"/>
      <c r="E3" s="359"/>
      <c r="F3" s="359"/>
      <c r="G3" s="359"/>
      <c r="H3" s="359"/>
      <c r="I3" s="359"/>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row>
    <row r="4" spans="1:99" ht="15" customHeight="1" x14ac:dyDescent="0.25">
      <c r="A4" s="79"/>
      <c r="B4" s="359"/>
      <c r="C4" s="359"/>
      <c r="D4" s="359"/>
      <c r="E4" s="359"/>
      <c r="F4" s="359"/>
      <c r="G4" s="359"/>
      <c r="H4" s="359"/>
      <c r="I4" s="359"/>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6"/>
      <c r="AM4" s="396"/>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row>
    <row r="5" spans="1:99" ht="15.75" thickBot="1" x14ac:dyDescent="0.3">
      <c r="A5" s="79"/>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row>
    <row r="6" spans="1:99" ht="15" customHeight="1" x14ac:dyDescent="0.25">
      <c r="A6" s="79"/>
      <c r="B6" s="407" t="s">
        <v>4</v>
      </c>
      <c r="C6" s="407"/>
      <c r="D6" s="408"/>
      <c r="E6" s="397" t="s">
        <v>116</v>
      </c>
      <c r="F6" s="398"/>
      <c r="G6" s="398"/>
      <c r="H6" s="398"/>
      <c r="I6" s="399"/>
      <c r="J6" s="393" t="e">
        <f>IF(AND('Mapa final'!#REF!="Muy Alta",'Mapa final'!#REF!="Leve"),CONCATENATE("R",'Mapa final'!#REF!),"")</f>
        <v>#REF!</v>
      </c>
      <c r="K6" s="394"/>
      <c r="L6" s="394" t="str">
        <f>IF(AND('Mapa final'!$H$19="Muy Alta",'Mapa final'!$L$19="Leve"),CONCATENATE("R",'Mapa final'!$A$19),"")</f>
        <v/>
      </c>
      <c r="M6" s="394"/>
      <c r="N6" s="394" t="str">
        <f>IF(AND('Mapa final'!$H$29="Muy Alta",'Mapa final'!$L$29="Leve"),CONCATENATE("R",'Mapa final'!$A$29),"")</f>
        <v/>
      </c>
      <c r="O6" s="395"/>
      <c r="P6" s="393" t="e">
        <f>IF(AND('Mapa final'!#REF!="Muy Alta",'Mapa final'!#REF!="Menor"),CONCATENATE("R",'Mapa final'!#REF!),"")</f>
        <v>#REF!</v>
      </c>
      <c r="Q6" s="394"/>
      <c r="R6" s="394" t="str">
        <f>IF(AND('Mapa final'!$H$19="Muy Alta",'Mapa final'!$L$19="Menor"),CONCATENATE("R",'Mapa final'!$A$19),"")</f>
        <v/>
      </c>
      <c r="S6" s="394"/>
      <c r="T6" s="394" t="str">
        <f>IF(AND('Mapa final'!$H$29="Muy Alta",'Mapa final'!$L$29="Menor"),CONCATENATE("R",'Mapa final'!$A$29),"")</f>
        <v/>
      </c>
      <c r="U6" s="395"/>
      <c r="V6" s="393" t="e">
        <f>IF(AND('Mapa final'!#REF!="Muy Alta",'Mapa final'!#REF!="Moderado"),CONCATENATE("R",'Mapa final'!#REF!),"")</f>
        <v>#REF!</v>
      </c>
      <c r="W6" s="394"/>
      <c r="X6" s="394" t="str">
        <f>IF(AND('Mapa final'!$H$19="Muy Alta",'Mapa final'!$L$19="Moderado"),CONCATENATE("R",'Mapa final'!$A$19),"")</f>
        <v/>
      </c>
      <c r="Y6" s="394"/>
      <c r="Z6" s="394" t="str">
        <f>IF(AND('Mapa final'!$H$29="Muy Alta",'Mapa final'!$L$29="Moderado"),CONCATENATE("R",'Mapa final'!$A$29),"")</f>
        <v/>
      </c>
      <c r="AA6" s="395"/>
      <c r="AB6" s="393" t="e">
        <f>IF(AND('Mapa final'!#REF!="Muy Alta",'Mapa final'!#REF!="Mayor"),CONCATENATE("R",'Mapa final'!#REF!),"")</f>
        <v>#REF!</v>
      </c>
      <c r="AC6" s="394"/>
      <c r="AD6" s="394" t="str">
        <f>IF(AND('Mapa final'!$H$19="Muy Alta",'Mapa final'!$L$19="Mayor"),CONCATENATE("R",'Mapa final'!$A$19),"")</f>
        <v/>
      </c>
      <c r="AE6" s="394"/>
      <c r="AF6" s="394" t="str">
        <f>IF(AND('Mapa final'!$H$29="Muy Alta",'Mapa final'!$L$29="Mayor"),CONCATENATE("R",'Mapa final'!$A$29),"")</f>
        <v/>
      </c>
      <c r="AG6" s="395"/>
      <c r="AH6" s="384" t="e">
        <f>IF(AND('Mapa final'!#REF!="Muy Alta",'Mapa final'!#REF!="Catastrófico"),CONCATENATE("R",'Mapa final'!#REF!),"")</f>
        <v>#REF!</v>
      </c>
      <c r="AI6" s="385"/>
      <c r="AJ6" s="385" t="str">
        <f>IF(AND('Mapa final'!$H$19="Muy Alta",'Mapa final'!$L$19="Catastrófico"),CONCATENATE("R",'Mapa final'!$A$19),"")</f>
        <v/>
      </c>
      <c r="AK6" s="385"/>
      <c r="AL6" s="385" t="str">
        <f>IF(AND('Mapa final'!$H$29="Muy Alta",'Mapa final'!$L$29="Catastrófico"),CONCATENATE("R",'Mapa final'!$A$29),"")</f>
        <v/>
      </c>
      <c r="AM6" s="386"/>
      <c r="AO6" s="409" t="s">
        <v>79</v>
      </c>
      <c r="AP6" s="410"/>
      <c r="AQ6" s="410"/>
      <c r="AR6" s="410"/>
      <c r="AS6" s="410"/>
      <c r="AT6" s="411"/>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row>
    <row r="7" spans="1:99" ht="15" customHeight="1" x14ac:dyDescent="0.25">
      <c r="A7" s="79"/>
      <c r="B7" s="407"/>
      <c r="C7" s="407"/>
      <c r="D7" s="408"/>
      <c r="E7" s="400"/>
      <c r="F7" s="401"/>
      <c r="G7" s="401"/>
      <c r="H7" s="401"/>
      <c r="I7" s="402"/>
      <c r="J7" s="387"/>
      <c r="K7" s="388"/>
      <c r="L7" s="388"/>
      <c r="M7" s="388"/>
      <c r="N7" s="388"/>
      <c r="O7" s="389"/>
      <c r="P7" s="387"/>
      <c r="Q7" s="388"/>
      <c r="R7" s="388"/>
      <c r="S7" s="388"/>
      <c r="T7" s="388"/>
      <c r="U7" s="389"/>
      <c r="V7" s="387"/>
      <c r="W7" s="388"/>
      <c r="X7" s="388"/>
      <c r="Y7" s="388"/>
      <c r="Z7" s="388"/>
      <c r="AA7" s="389"/>
      <c r="AB7" s="387"/>
      <c r="AC7" s="388"/>
      <c r="AD7" s="388"/>
      <c r="AE7" s="388"/>
      <c r="AF7" s="388"/>
      <c r="AG7" s="389"/>
      <c r="AH7" s="378"/>
      <c r="AI7" s="379"/>
      <c r="AJ7" s="379"/>
      <c r="AK7" s="379"/>
      <c r="AL7" s="379"/>
      <c r="AM7" s="380"/>
      <c r="AN7" s="79"/>
      <c r="AO7" s="412"/>
      <c r="AP7" s="413"/>
      <c r="AQ7" s="413"/>
      <c r="AR7" s="413"/>
      <c r="AS7" s="413"/>
      <c r="AT7" s="414"/>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row>
    <row r="8" spans="1:99" ht="15" customHeight="1" x14ac:dyDescent="0.25">
      <c r="A8" s="79"/>
      <c r="B8" s="407"/>
      <c r="C8" s="407"/>
      <c r="D8" s="408"/>
      <c r="E8" s="400"/>
      <c r="F8" s="401"/>
      <c r="G8" s="401"/>
      <c r="H8" s="401"/>
      <c r="I8" s="402"/>
      <c r="J8" s="387" t="str">
        <f>IF(AND('Mapa final'!$H$43="Muy Alta",'Mapa final'!$L$43="Leve"),CONCATENATE("R",'Mapa final'!$A$43),"")</f>
        <v/>
      </c>
      <c r="K8" s="388"/>
      <c r="L8" s="388" t="str">
        <f>IF(AND('Mapa final'!$H$49="Muy Alta",'Mapa final'!$L$49="Leve"),CONCATENATE("R",'Mapa final'!$A$49),"")</f>
        <v/>
      </c>
      <c r="M8" s="388"/>
      <c r="N8" s="388" t="str">
        <f>IF(AND('Mapa final'!$H$54="Muy Alta",'Mapa final'!$L$54="Leve"),CONCATENATE("R",'Mapa final'!$A$54),"")</f>
        <v/>
      </c>
      <c r="O8" s="389"/>
      <c r="P8" s="387" t="str">
        <f>IF(AND('Mapa final'!$H$43="Muy Alta",'Mapa final'!$L$43="Menor"),CONCATENATE("R",'Mapa final'!$A$43),"")</f>
        <v/>
      </c>
      <c r="Q8" s="388"/>
      <c r="R8" s="388" t="str">
        <f>IF(AND('Mapa final'!$H$49="Muy Alta",'Mapa final'!$L$49="Menor"),CONCATENATE("R",'Mapa final'!$A$49),"")</f>
        <v/>
      </c>
      <c r="S8" s="388"/>
      <c r="T8" s="388" t="str">
        <f>IF(AND('Mapa final'!$H$54="Muy Alta",'Mapa final'!$L$54="Menor"),CONCATENATE("R",'Mapa final'!$A$54),"")</f>
        <v/>
      </c>
      <c r="U8" s="389"/>
      <c r="V8" s="387" t="str">
        <f>IF(AND('Mapa final'!$H$43="Muy Alta",'Mapa final'!$L$43="Moderado"),CONCATENATE("R",'Mapa final'!$A$43),"")</f>
        <v/>
      </c>
      <c r="W8" s="388"/>
      <c r="X8" s="388" t="str">
        <f>IF(AND('Mapa final'!$H$49="Muy Alta",'Mapa final'!$L$49="Moderado"),CONCATENATE("R",'Mapa final'!$A$49),"")</f>
        <v/>
      </c>
      <c r="Y8" s="388"/>
      <c r="Z8" s="388" t="str">
        <f>IF(AND('Mapa final'!$H$54="Muy Alta",'Mapa final'!$L$54="Moderado"),CONCATENATE("R",'Mapa final'!$A$54),"")</f>
        <v/>
      </c>
      <c r="AA8" s="389"/>
      <c r="AB8" s="387" t="str">
        <f>IF(AND('Mapa final'!$H$43="Muy Alta",'Mapa final'!$L$43="Mayor"),CONCATENATE("R",'Mapa final'!$A$43),"")</f>
        <v/>
      </c>
      <c r="AC8" s="388"/>
      <c r="AD8" s="388" t="str">
        <f>IF(AND('Mapa final'!$H$49="Muy Alta",'Mapa final'!$L$49="Mayor"),CONCATENATE("R",'Mapa final'!$A$49),"")</f>
        <v/>
      </c>
      <c r="AE8" s="388"/>
      <c r="AF8" s="388" t="str">
        <f>IF(AND('Mapa final'!$H$54="Muy Alta",'Mapa final'!$L$54="Mayor"),CONCATENATE("R",'Mapa final'!$A$54),"")</f>
        <v/>
      </c>
      <c r="AG8" s="389"/>
      <c r="AH8" s="378" t="str">
        <f>IF(AND('Mapa final'!$H$43="Muy Alta",'Mapa final'!$L$43="Catastrófico"),CONCATENATE("R",'Mapa final'!$A$43),"")</f>
        <v/>
      </c>
      <c r="AI8" s="379"/>
      <c r="AJ8" s="379" t="str">
        <f>IF(AND('Mapa final'!$H$49="Muy Alta",'Mapa final'!$L$49="Catastrófico"),CONCATENATE("R",'Mapa final'!$A$49),"")</f>
        <v/>
      </c>
      <c r="AK8" s="379"/>
      <c r="AL8" s="379" t="str">
        <f>IF(AND('Mapa final'!$H$54="Muy Alta",'Mapa final'!$L$54="Catastrófico"),CONCATENATE("R",'Mapa final'!$A$54),"")</f>
        <v/>
      </c>
      <c r="AM8" s="380"/>
      <c r="AN8" s="79"/>
      <c r="AO8" s="412"/>
      <c r="AP8" s="413"/>
      <c r="AQ8" s="413"/>
      <c r="AR8" s="413"/>
      <c r="AS8" s="413"/>
      <c r="AT8" s="414"/>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row>
    <row r="9" spans="1:99" ht="15" customHeight="1" x14ac:dyDescent="0.25">
      <c r="A9" s="79"/>
      <c r="B9" s="407"/>
      <c r="C9" s="407"/>
      <c r="D9" s="408"/>
      <c r="E9" s="400"/>
      <c r="F9" s="401"/>
      <c r="G9" s="401"/>
      <c r="H9" s="401"/>
      <c r="I9" s="402"/>
      <c r="J9" s="387"/>
      <c r="K9" s="388"/>
      <c r="L9" s="388"/>
      <c r="M9" s="388"/>
      <c r="N9" s="388"/>
      <c r="O9" s="389"/>
      <c r="P9" s="387"/>
      <c r="Q9" s="388"/>
      <c r="R9" s="388"/>
      <c r="S9" s="388"/>
      <c r="T9" s="388"/>
      <c r="U9" s="389"/>
      <c r="V9" s="387"/>
      <c r="W9" s="388"/>
      <c r="X9" s="388"/>
      <c r="Y9" s="388"/>
      <c r="Z9" s="388"/>
      <c r="AA9" s="389"/>
      <c r="AB9" s="387"/>
      <c r="AC9" s="388"/>
      <c r="AD9" s="388"/>
      <c r="AE9" s="388"/>
      <c r="AF9" s="388"/>
      <c r="AG9" s="389"/>
      <c r="AH9" s="378"/>
      <c r="AI9" s="379"/>
      <c r="AJ9" s="379"/>
      <c r="AK9" s="379"/>
      <c r="AL9" s="379"/>
      <c r="AM9" s="380"/>
      <c r="AN9" s="79"/>
      <c r="AO9" s="412"/>
      <c r="AP9" s="413"/>
      <c r="AQ9" s="413"/>
      <c r="AR9" s="413"/>
      <c r="AS9" s="413"/>
      <c r="AT9" s="414"/>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row>
    <row r="10" spans="1:99" ht="15" customHeight="1" x14ac:dyDescent="0.25">
      <c r="A10" s="79"/>
      <c r="B10" s="407"/>
      <c r="C10" s="407"/>
      <c r="D10" s="408"/>
      <c r="E10" s="400"/>
      <c r="F10" s="401"/>
      <c r="G10" s="401"/>
      <c r="H10" s="401"/>
      <c r="I10" s="402"/>
      <c r="J10" s="387" t="e">
        <f>IF(AND('Mapa final'!#REF!="Muy Alta",'Mapa final'!#REF!="Leve"),CONCATENATE("R",'Mapa final'!#REF!),"")</f>
        <v>#REF!</v>
      </c>
      <c r="K10" s="388"/>
      <c r="L10" s="388" t="e">
        <f>IF(AND('Mapa final'!#REF!="Muy Alta",'Mapa final'!#REF!="Leve"),CONCATENATE("R",'Mapa final'!#REF!),"")</f>
        <v>#REF!</v>
      </c>
      <c r="M10" s="388"/>
      <c r="N10" s="388" t="e">
        <f>IF(AND('Mapa final'!#REF!="Muy Alta",'Mapa final'!#REF!="Leve"),CONCATENATE("R",'Mapa final'!#REF!),"")</f>
        <v>#REF!</v>
      </c>
      <c r="O10" s="389"/>
      <c r="P10" s="387" t="e">
        <f>IF(AND('Mapa final'!#REF!="Muy Alta",'Mapa final'!#REF!="Menor"),CONCATENATE("R",'Mapa final'!#REF!),"")</f>
        <v>#REF!</v>
      </c>
      <c r="Q10" s="388"/>
      <c r="R10" s="388" t="e">
        <f>IF(AND('Mapa final'!#REF!="Muy Alta",'Mapa final'!#REF!="Menor"),CONCATENATE("R",'Mapa final'!#REF!),"")</f>
        <v>#REF!</v>
      </c>
      <c r="S10" s="388"/>
      <c r="T10" s="388" t="e">
        <f>IF(AND('Mapa final'!#REF!="Muy Alta",'Mapa final'!#REF!="Menor"),CONCATENATE("R",'Mapa final'!#REF!),"")</f>
        <v>#REF!</v>
      </c>
      <c r="U10" s="389"/>
      <c r="V10" s="387" t="e">
        <f>IF(AND('Mapa final'!#REF!="Muy Alta",'Mapa final'!#REF!="Moderado"),CONCATENATE("R",'Mapa final'!#REF!),"")</f>
        <v>#REF!</v>
      </c>
      <c r="W10" s="388"/>
      <c r="X10" s="388" t="e">
        <f>IF(AND('Mapa final'!#REF!="Muy Alta",'Mapa final'!#REF!="Moderado"),CONCATENATE("R",'Mapa final'!#REF!),"")</f>
        <v>#REF!</v>
      </c>
      <c r="Y10" s="388"/>
      <c r="Z10" s="388" t="e">
        <f>IF(AND('Mapa final'!#REF!="Muy Alta",'Mapa final'!#REF!="Moderado"),CONCATENATE("R",'Mapa final'!#REF!),"")</f>
        <v>#REF!</v>
      </c>
      <c r="AA10" s="389"/>
      <c r="AB10" s="387" t="e">
        <f>IF(AND('Mapa final'!#REF!="Muy Alta",'Mapa final'!#REF!="Mayor"),CONCATENATE("R",'Mapa final'!#REF!),"")</f>
        <v>#REF!</v>
      </c>
      <c r="AC10" s="388"/>
      <c r="AD10" s="388" t="e">
        <f>IF(AND('Mapa final'!#REF!="Muy Alta",'Mapa final'!#REF!="Mayor"),CONCATENATE("R",'Mapa final'!#REF!),"")</f>
        <v>#REF!</v>
      </c>
      <c r="AE10" s="388"/>
      <c r="AF10" s="388" t="e">
        <f>IF(AND('Mapa final'!#REF!="Muy Alta",'Mapa final'!#REF!="Mayor"),CONCATENATE("R",'Mapa final'!#REF!),"")</f>
        <v>#REF!</v>
      </c>
      <c r="AG10" s="389"/>
      <c r="AH10" s="378" t="e">
        <f>IF(AND('Mapa final'!#REF!="Muy Alta",'Mapa final'!#REF!="Catastrófico"),CONCATENATE("R",'Mapa final'!#REF!),"")</f>
        <v>#REF!</v>
      </c>
      <c r="AI10" s="379"/>
      <c r="AJ10" s="379" t="e">
        <f>IF(AND('Mapa final'!#REF!="Muy Alta",'Mapa final'!#REF!="Catastrófico"),CONCATENATE("R",'Mapa final'!#REF!),"")</f>
        <v>#REF!</v>
      </c>
      <c r="AK10" s="379"/>
      <c r="AL10" s="379" t="e">
        <f>IF(AND('Mapa final'!#REF!="Muy Alta",'Mapa final'!#REF!="Catastrófico"),CONCATENATE("R",'Mapa final'!#REF!),"")</f>
        <v>#REF!</v>
      </c>
      <c r="AM10" s="380"/>
      <c r="AN10" s="79"/>
      <c r="AO10" s="412"/>
      <c r="AP10" s="413"/>
      <c r="AQ10" s="413"/>
      <c r="AR10" s="413"/>
      <c r="AS10" s="413"/>
      <c r="AT10" s="414"/>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row>
    <row r="11" spans="1:99" ht="15" customHeight="1" x14ac:dyDescent="0.25">
      <c r="A11" s="79"/>
      <c r="B11" s="407"/>
      <c r="C11" s="407"/>
      <c r="D11" s="408"/>
      <c r="E11" s="400"/>
      <c r="F11" s="401"/>
      <c r="G11" s="401"/>
      <c r="H11" s="401"/>
      <c r="I11" s="402"/>
      <c r="J11" s="387"/>
      <c r="K11" s="388"/>
      <c r="L11" s="388"/>
      <c r="M11" s="388"/>
      <c r="N11" s="388"/>
      <c r="O11" s="389"/>
      <c r="P11" s="387"/>
      <c r="Q11" s="388"/>
      <c r="R11" s="388"/>
      <c r="S11" s="388"/>
      <c r="T11" s="388"/>
      <c r="U11" s="389"/>
      <c r="V11" s="387"/>
      <c r="W11" s="388"/>
      <c r="X11" s="388"/>
      <c r="Y11" s="388"/>
      <c r="Z11" s="388"/>
      <c r="AA11" s="389"/>
      <c r="AB11" s="387"/>
      <c r="AC11" s="388"/>
      <c r="AD11" s="388"/>
      <c r="AE11" s="388"/>
      <c r="AF11" s="388"/>
      <c r="AG11" s="389"/>
      <c r="AH11" s="378"/>
      <c r="AI11" s="379"/>
      <c r="AJ11" s="379"/>
      <c r="AK11" s="379"/>
      <c r="AL11" s="379"/>
      <c r="AM11" s="380"/>
      <c r="AN11" s="79"/>
      <c r="AO11" s="412"/>
      <c r="AP11" s="413"/>
      <c r="AQ11" s="413"/>
      <c r="AR11" s="413"/>
      <c r="AS11" s="413"/>
      <c r="AT11" s="414"/>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row>
    <row r="12" spans="1:99" ht="15" customHeight="1" x14ac:dyDescent="0.25">
      <c r="A12" s="79"/>
      <c r="B12" s="407"/>
      <c r="C12" s="407"/>
      <c r="D12" s="408"/>
      <c r="E12" s="400"/>
      <c r="F12" s="401"/>
      <c r="G12" s="401"/>
      <c r="H12" s="401"/>
      <c r="I12" s="402"/>
      <c r="J12" s="387" t="e">
        <f>IF(AND('Mapa final'!#REF!="Muy Alta",'Mapa final'!#REF!="Leve"),CONCATENATE("R",'Mapa final'!#REF!),"")</f>
        <v>#REF!</v>
      </c>
      <c r="K12" s="388"/>
      <c r="L12" s="388" t="e">
        <f>IF(AND('Mapa final'!#REF!="Muy Alta",'Mapa final'!#REF!="Leve"),CONCATENATE("R",'Mapa final'!#REF!),"")</f>
        <v>#REF!</v>
      </c>
      <c r="M12" s="388"/>
      <c r="N12" s="388" t="str">
        <f>IF(AND('Mapa final'!$H$61="Muy Alta",'Mapa final'!$L$61="Leve"),CONCATENATE("R",'Mapa final'!$A$61),"")</f>
        <v/>
      </c>
      <c r="O12" s="389"/>
      <c r="P12" s="387" t="e">
        <f>IF(AND('Mapa final'!#REF!="Muy Alta",'Mapa final'!#REF!="Menor"),CONCATENATE("R",'Mapa final'!#REF!),"")</f>
        <v>#REF!</v>
      </c>
      <c r="Q12" s="388"/>
      <c r="R12" s="388" t="e">
        <f>IF(AND('Mapa final'!#REF!="Muy Alta",'Mapa final'!#REF!="Menor"),CONCATENATE("R",'Mapa final'!#REF!),"")</f>
        <v>#REF!</v>
      </c>
      <c r="S12" s="388"/>
      <c r="T12" s="388" t="str">
        <f>IF(AND('Mapa final'!$H$61="Muy Alta",'Mapa final'!$L$61="Menor"),CONCATENATE("R",'Mapa final'!$A$61),"")</f>
        <v/>
      </c>
      <c r="U12" s="389"/>
      <c r="V12" s="387" t="e">
        <f>IF(AND('Mapa final'!#REF!="Muy Alta",'Mapa final'!#REF!="Moderado"),CONCATENATE("R",'Mapa final'!#REF!),"")</f>
        <v>#REF!</v>
      </c>
      <c r="W12" s="388"/>
      <c r="X12" s="388" t="e">
        <f>IF(AND('Mapa final'!#REF!="Muy Alta",'Mapa final'!#REF!="Moderado"),CONCATENATE("R",'Mapa final'!#REF!),"")</f>
        <v>#REF!</v>
      </c>
      <c r="Y12" s="388"/>
      <c r="Z12" s="388" t="str">
        <f>IF(AND('Mapa final'!$H$61="Muy Alta",'Mapa final'!$L$61="Moderado"),CONCATENATE("R",'Mapa final'!$A$61),"")</f>
        <v/>
      </c>
      <c r="AA12" s="389"/>
      <c r="AB12" s="387" t="e">
        <f>IF(AND('Mapa final'!#REF!="Muy Alta",'Mapa final'!#REF!="Mayor"),CONCATENATE("R",'Mapa final'!#REF!),"")</f>
        <v>#REF!</v>
      </c>
      <c r="AC12" s="388"/>
      <c r="AD12" s="388" t="e">
        <f>IF(AND('Mapa final'!#REF!="Muy Alta",'Mapa final'!#REF!="Mayor"),CONCATENATE("R",'Mapa final'!#REF!),"")</f>
        <v>#REF!</v>
      </c>
      <c r="AE12" s="388"/>
      <c r="AF12" s="388" t="str">
        <f>IF(AND('Mapa final'!$H$61="Muy Alta",'Mapa final'!$L$61="Mayor"),CONCATENATE("R",'Mapa final'!$A$61),"")</f>
        <v/>
      </c>
      <c r="AG12" s="389"/>
      <c r="AH12" s="378" t="e">
        <f>IF(AND('Mapa final'!#REF!="Muy Alta",'Mapa final'!#REF!="Catastrófico"),CONCATENATE("R",'Mapa final'!#REF!),"")</f>
        <v>#REF!</v>
      </c>
      <c r="AI12" s="379"/>
      <c r="AJ12" s="379" t="e">
        <f>IF(AND('Mapa final'!#REF!="Muy Alta",'Mapa final'!#REF!="Catastrófico"),CONCATENATE("R",'Mapa final'!#REF!),"")</f>
        <v>#REF!</v>
      </c>
      <c r="AK12" s="379"/>
      <c r="AL12" s="379" t="str">
        <f>IF(AND('Mapa final'!$H$61="Muy Alta",'Mapa final'!$L$61="Catastrófico"),CONCATENATE("R",'Mapa final'!$A$61),"")</f>
        <v/>
      </c>
      <c r="AM12" s="380"/>
      <c r="AN12" s="79"/>
      <c r="AO12" s="412"/>
      <c r="AP12" s="413"/>
      <c r="AQ12" s="413"/>
      <c r="AR12" s="413"/>
      <c r="AS12" s="413"/>
      <c r="AT12" s="414"/>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row>
    <row r="13" spans="1:99" ht="15.75" customHeight="1" thickBot="1" x14ac:dyDescent="0.3">
      <c r="A13" s="79"/>
      <c r="B13" s="407"/>
      <c r="C13" s="407"/>
      <c r="D13" s="408"/>
      <c r="E13" s="403"/>
      <c r="F13" s="404"/>
      <c r="G13" s="404"/>
      <c r="H13" s="404"/>
      <c r="I13" s="405"/>
      <c r="J13" s="387"/>
      <c r="K13" s="388"/>
      <c r="L13" s="388"/>
      <c r="M13" s="388"/>
      <c r="N13" s="388"/>
      <c r="O13" s="389"/>
      <c r="P13" s="387"/>
      <c r="Q13" s="388"/>
      <c r="R13" s="388"/>
      <c r="S13" s="388"/>
      <c r="T13" s="388"/>
      <c r="U13" s="389"/>
      <c r="V13" s="387"/>
      <c r="W13" s="388"/>
      <c r="X13" s="388"/>
      <c r="Y13" s="388"/>
      <c r="Z13" s="388"/>
      <c r="AA13" s="389"/>
      <c r="AB13" s="387"/>
      <c r="AC13" s="388"/>
      <c r="AD13" s="388"/>
      <c r="AE13" s="388"/>
      <c r="AF13" s="388"/>
      <c r="AG13" s="389"/>
      <c r="AH13" s="381"/>
      <c r="AI13" s="382"/>
      <c r="AJ13" s="382"/>
      <c r="AK13" s="382"/>
      <c r="AL13" s="382"/>
      <c r="AM13" s="383"/>
      <c r="AN13" s="79"/>
      <c r="AO13" s="415"/>
      <c r="AP13" s="416"/>
      <c r="AQ13" s="416"/>
      <c r="AR13" s="416"/>
      <c r="AS13" s="416"/>
      <c r="AT13" s="417"/>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row>
    <row r="14" spans="1:99" ht="15" customHeight="1" x14ac:dyDescent="0.25">
      <c r="A14" s="79"/>
      <c r="B14" s="407"/>
      <c r="C14" s="407"/>
      <c r="D14" s="408"/>
      <c r="E14" s="397" t="s">
        <v>115</v>
      </c>
      <c r="F14" s="398"/>
      <c r="G14" s="398"/>
      <c r="H14" s="398"/>
      <c r="I14" s="398"/>
      <c r="J14" s="375" t="e">
        <f>IF(AND('Mapa final'!#REF!="Alta",'Mapa final'!#REF!="Leve"),CONCATENATE("R",'Mapa final'!#REF!),"")</f>
        <v>#REF!</v>
      </c>
      <c r="K14" s="376"/>
      <c r="L14" s="376" t="str">
        <f>IF(AND('Mapa final'!$H$19="Alta",'Mapa final'!$L$19="Leve"),CONCATENATE("R",'Mapa final'!$A$19),"")</f>
        <v/>
      </c>
      <c r="M14" s="376"/>
      <c r="N14" s="376" t="str">
        <f>IF(AND('Mapa final'!$H$29="Alta",'Mapa final'!$L$29="Leve"),CONCATENATE("R",'Mapa final'!$A$29),"")</f>
        <v/>
      </c>
      <c r="O14" s="377"/>
      <c r="P14" s="375" t="e">
        <f>IF(AND('Mapa final'!#REF!="Alta",'Mapa final'!#REF!="Menor"),CONCATENATE("R",'Mapa final'!#REF!),"")</f>
        <v>#REF!</v>
      </c>
      <c r="Q14" s="376"/>
      <c r="R14" s="376" t="str">
        <f>IF(AND('Mapa final'!$H$19="Alta",'Mapa final'!$L$19="Menor"),CONCATENATE("R",'Mapa final'!$A$19),"")</f>
        <v/>
      </c>
      <c r="S14" s="376"/>
      <c r="T14" s="376" t="str">
        <f>IF(AND('Mapa final'!$H$29="Alta",'Mapa final'!$L$29="Menor"),CONCATENATE("R",'Mapa final'!$A$29),"")</f>
        <v/>
      </c>
      <c r="U14" s="377"/>
      <c r="V14" s="393" t="e">
        <f>IF(AND('Mapa final'!#REF!="Alta",'Mapa final'!#REF!="Moderado"),CONCATENATE("R",'Mapa final'!#REF!),"")</f>
        <v>#REF!</v>
      </c>
      <c r="W14" s="394"/>
      <c r="X14" s="394" t="str">
        <f>IF(AND('Mapa final'!$H$19="Alta",'Mapa final'!$L$19="Moderado"),CONCATENATE("R",'Mapa final'!$A$19),"")</f>
        <v/>
      </c>
      <c r="Y14" s="394"/>
      <c r="Z14" s="394" t="str">
        <f>IF(AND('Mapa final'!$H$29="Alta",'Mapa final'!$L$29="Moderado"),CONCATENATE("R",'Mapa final'!$A$29),"")</f>
        <v/>
      </c>
      <c r="AA14" s="395"/>
      <c r="AB14" s="393" t="e">
        <f>IF(AND('Mapa final'!#REF!="Alta",'Mapa final'!#REF!="Mayor"),CONCATENATE("R",'Mapa final'!#REF!),"")</f>
        <v>#REF!</v>
      </c>
      <c r="AC14" s="394"/>
      <c r="AD14" s="394" t="str">
        <f>IF(AND('Mapa final'!$H$19="Alta",'Mapa final'!$L$19="Mayor"),CONCATENATE("R",'Mapa final'!$A$19),"")</f>
        <v/>
      </c>
      <c r="AE14" s="394"/>
      <c r="AF14" s="394" t="str">
        <f>IF(AND('Mapa final'!$H$29="Alta",'Mapa final'!$L$29="Mayor"),CONCATENATE("R",'Mapa final'!$A$29),"")</f>
        <v/>
      </c>
      <c r="AG14" s="395"/>
      <c r="AH14" s="384" t="e">
        <f>IF(AND('Mapa final'!#REF!="Alta",'Mapa final'!#REF!="Catastrófico"),CONCATENATE("R",'Mapa final'!#REF!),"")</f>
        <v>#REF!</v>
      </c>
      <c r="AI14" s="385"/>
      <c r="AJ14" s="385" t="str">
        <f>IF(AND('Mapa final'!$H$19="Alta",'Mapa final'!$L$19="Catastrófico"),CONCATENATE("R",'Mapa final'!$A$19),"")</f>
        <v/>
      </c>
      <c r="AK14" s="385"/>
      <c r="AL14" s="385" t="str">
        <f>IF(AND('Mapa final'!$H$29="Alta",'Mapa final'!$L$29="Catastrófico"),CONCATENATE("R",'Mapa final'!$A$29),"")</f>
        <v/>
      </c>
      <c r="AM14" s="386"/>
      <c r="AN14" s="79"/>
      <c r="AO14" s="418" t="s">
        <v>80</v>
      </c>
      <c r="AP14" s="419"/>
      <c r="AQ14" s="419"/>
      <c r="AR14" s="419"/>
      <c r="AS14" s="419"/>
      <c r="AT14" s="420"/>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row>
    <row r="15" spans="1:99" ht="15" customHeight="1" x14ac:dyDescent="0.25">
      <c r="A15" s="79"/>
      <c r="B15" s="407"/>
      <c r="C15" s="407"/>
      <c r="D15" s="408"/>
      <c r="E15" s="400"/>
      <c r="F15" s="401"/>
      <c r="G15" s="401"/>
      <c r="H15" s="401"/>
      <c r="I15" s="401"/>
      <c r="J15" s="369"/>
      <c r="K15" s="370"/>
      <c r="L15" s="370"/>
      <c r="M15" s="370"/>
      <c r="N15" s="370"/>
      <c r="O15" s="371"/>
      <c r="P15" s="369"/>
      <c r="Q15" s="370"/>
      <c r="R15" s="370"/>
      <c r="S15" s="370"/>
      <c r="T15" s="370"/>
      <c r="U15" s="371"/>
      <c r="V15" s="387"/>
      <c r="W15" s="388"/>
      <c r="X15" s="388"/>
      <c r="Y15" s="388"/>
      <c r="Z15" s="388"/>
      <c r="AA15" s="389"/>
      <c r="AB15" s="387"/>
      <c r="AC15" s="388"/>
      <c r="AD15" s="388"/>
      <c r="AE15" s="388"/>
      <c r="AF15" s="388"/>
      <c r="AG15" s="389"/>
      <c r="AH15" s="378"/>
      <c r="AI15" s="379"/>
      <c r="AJ15" s="379"/>
      <c r="AK15" s="379"/>
      <c r="AL15" s="379"/>
      <c r="AM15" s="380"/>
      <c r="AN15" s="79"/>
      <c r="AO15" s="421"/>
      <c r="AP15" s="422"/>
      <c r="AQ15" s="422"/>
      <c r="AR15" s="422"/>
      <c r="AS15" s="422"/>
      <c r="AT15" s="423"/>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row>
    <row r="16" spans="1:99" ht="15" customHeight="1" x14ac:dyDescent="0.25">
      <c r="A16" s="79"/>
      <c r="B16" s="407"/>
      <c r="C16" s="407"/>
      <c r="D16" s="408"/>
      <c r="E16" s="400"/>
      <c r="F16" s="401"/>
      <c r="G16" s="401"/>
      <c r="H16" s="401"/>
      <c r="I16" s="401"/>
      <c r="J16" s="369" t="str">
        <f>IF(AND('Mapa final'!$H$43="Alta",'Mapa final'!$L$43="Leve"),CONCATENATE("R",'Mapa final'!$A$43),"")</f>
        <v/>
      </c>
      <c r="K16" s="370"/>
      <c r="L16" s="370" t="str">
        <f>IF(AND('Mapa final'!$H$49="Alta",'Mapa final'!$L$49="Leve"),CONCATENATE("R",'Mapa final'!$A$49),"")</f>
        <v/>
      </c>
      <c r="M16" s="370"/>
      <c r="N16" s="370" t="str">
        <f>IF(AND('Mapa final'!$H$54="Alta",'Mapa final'!$L$54="Leve"),CONCATENATE("R",'Mapa final'!$A$54),"")</f>
        <v/>
      </c>
      <c r="O16" s="371"/>
      <c r="P16" s="369" t="str">
        <f>IF(AND('Mapa final'!$H$43="Alta",'Mapa final'!$L$43="Menor"),CONCATENATE("R",'Mapa final'!$A$43),"")</f>
        <v/>
      </c>
      <c r="Q16" s="370"/>
      <c r="R16" s="370" t="str">
        <f>IF(AND('Mapa final'!$H$49="Alta",'Mapa final'!$L$49="Menor"),CONCATENATE("R",'Mapa final'!$A$49),"")</f>
        <v/>
      </c>
      <c r="S16" s="370"/>
      <c r="T16" s="370" t="str">
        <f>IF(AND('Mapa final'!$H$54="Alta",'Mapa final'!$L$54="Menor"),CONCATENATE("R",'Mapa final'!$A$54),"")</f>
        <v/>
      </c>
      <c r="U16" s="371"/>
      <c r="V16" s="387" t="str">
        <f>IF(AND('Mapa final'!$H$43="Alta",'Mapa final'!$L$43="Moderado"),CONCATENATE("R",'Mapa final'!$A$43),"")</f>
        <v/>
      </c>
      <c r="W16" s="388"/>
      <c r="X16" s="388" t="str">
        <f>IF(AND('Mapa final'!$H$49="Alta",'Mapa final'!$L$49="Moderado"),CONCATENATE("R",'Mapa final'!$A$49),"")</f>
        <v/>
      </c>
      <c r="Y16" s="388"/>
      <c r="Z16" s="388" t="str">
        <f>IF(AND('Mapa final'!$H$54="Alta",'Mapa final'!$L$54="Moderado"),CONCATENATE("R",'Mapa final'!$A$54),"")</f>
        <v/>
      </c>
      <c r="AA16" s="389"/>
      <c r="AB16" s="387" t="str">
        <f>IF(AND('Mapa final'!$H$43="Alta",'Mapa final'!$L$43="Mayor"),CONCATENATE("R",'Mapa final'!$A$43),"")</f>
        <v/>
      </c>
      <c r="AC16" s="388"/>
      <c r="AD16" s="388" t="str">
        <f>IF(AND('Mapa final'!$H$49="Alta",'Mapa final'!$L$49="Mayor"),CONCATENATE("R",'Mapa final'!$A$49),"")</f>
        <v/>
      </c>
      <c r="AE16" s="388"/>
      <c r="AF16" s="388" t="str">
        <f>IF(AND('Mapa final'!$H$54="Alta",'Mapa final'!$L$54="Mayor"),CONCATENATE("R",'Mapa final'!$A$54),"")</f>
        <v/>
      </c>
      <c r="AG16" s="389"/>
      <c r="AH16" s="378" t="str">
        <f>IF(AND('Mapa final'!$H$43="Alta",'Mapa final'!$L$43="Catastrófico"),CONCATENATE("R",'Mapa final'!$A$43),"")</f>
        <v/>
      </c>
      <c r="AI16" s="379"/>
      <c r="AJ16" s="379" t="str">
        <f>IF(AND('Mapa final'!$H$49="Alta",'Mapa final'!$L$49="Catastrófico"),CONCATENATE("R",'Mapa final'!$A$49),"")</f>
        <v/>
      </c>
      <c r="AK16" s="379"/>
      <c r="AL16" s="379" t="str">
        <f>IF(AND('Mapa final'!$H$54="Alta",'Mapa final'!$L$54="Catastrófico"),CONCATENATE("R",'Mapa final'!$A$54),"")</f>
        <v/>
      </c>
      <c r="AM16" s="380"/>
      <c r="AN16" s="79"/>
      <c r="AO16" s="421"/>
      <c r="AP16" s="422"/>
      <c r="AQ16" s="422"/>
      <c r="AR16" s="422"/>
      <c r="AS16" s="422"/>
      <c r="AT16" s="423"/>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row>
    <row r="17" spans="1:80" ht="15" customHeight="1" x14ac:dyDescent="0.25">
      <c r="A17" s="79"/>
      <c r="B17" s="407"/>
      <c r="C17" s="407"/>
      <c r="D17" s="408"/>
      <c r="E17" s="400"/>
      <c r="F17" s="401"/>
      <c r="G17" s="401"/>
      <c r="H17" s="401"/>
      <c r="I17" s="401"/>
      <c r="J17" s="369"/>
      <c r="K17" s="370"/>
      <c r="L17" s="370"/>
      <c r="M17" s="370"/>
      <c r="N17" s="370"/>
      <c r="O17" s="371"/>
      <c r="P17" s="369"/>
      <c r="Q17" s="370"/>
      <c r="R17" s="370"/>
      <c r="S17" s="370"/>
      <c r="T17" s="370"/>
      <c r="U17" s="371"/>
      <c r="V17" s="387"/>
      <c r="W17" s="388"/>
      <c r="X17" s="388"/>
      <c r="Y17" s="388"/>
      <c r="Z17" s="388"/>
      <c r="AA17" s="389"/>
      <c r="AB17" s="387"/>
      <c r="AC17" s="388"/>
      <c r="AD17" s="388"/>
      <c r="AE17" s="388"/>
      <c r="AF17" s="388"/>
      <c r="AG17" s="389"/>
      <c r="AH17" s="378"/>
      <c r="AI17" s="379"/>
      <c r="AJ17" s="379"/>
      <c r="AK17" s="379"/>
      <c r="AL17" s="379"/>
      <c r="AM17" s="380"/>
      <c r="AN17" s="79"/>
      <c r="AO17" s="421"/>
      <c r="AP17" s="422"/>
      <c r="AQ17" s="422"/>
      <c r="AR17" s="422"/>
      <c r="AS17" s="422"/>
      <c r="AT17" s="423"/>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row>
    <row r="18" spans="1:80" ht="15" customHeight="1" x14ac:dyDescent="0.25">
      <c r="A18" s="79"/>
      <c r="B18" s="407"/>
      <c r="C18" s="407"/>
      <c r="D18" s="408"/>
      <c r="E18" s="400"/>
      <c r="F18" s="401"/>
      <c r="G18" s="401"/>
      <c r="H18" s="401"/>
      <c r="I18" s="401"/>
      <c r="J18" s="369" t="e">
        <f>IF(AND('Mapa final'!#REF!="Alta",'Mapa final'!#REF!="Leve"),CONCATENATE("R",'Mapa final'!#REF!),"")</f>
        <v>#REF!</v>
      </c>
      <c r="K18" s="370"/>
      <c r="L18" s="370" t="e">
        <f>IF(AND('Mapa final'!#REF!="Alta",'Mapa final'!#REF!="Leve"),CONCATENATE("R",'Mapa final'!#REF!),"")</f>
        <v>#REF!</v>
      </c>
      <c r="M18" s="370"/>
      <c r="N18" s="370" t="e">
        <f>IF(AND('Mapa final'!#REF!="Alta",'Mapa final'!#REF!="Leve"),CONCATENATE("R",'Mapa final'!#REF!),"")</f>
        <v>#REF!</v>
      </c>
      <c r="O18" s="371"/>
      <c r="P18" s="369" t="e">
        <f>IF(AND('Mapa final'!#REF!="Alta",'Mapa final'!#REF!="Menor"),CONCATENATE("R",'Mapa final'!#REF!),"")</f>
        <v>#REF!</v>
      </c>
      <c r="Q18" s="370"/>
      <c r="R18" s="370" t="e">
        <f>IF(AND('Mapa final'!#REF!="Alta",'Mapa final'!#REF!="Menor"),CONCATENATE("R",'Mapa final'!#REF!),"")</f>
        <v>#REF!</v>
      </c>
      <c r="S18" s="370"/>
      <c r="T18" s="370" t="e">
        <f>IF(AND('Mapa final'!#REF!="Alta",'Mapa final'!#REF!="Menor"),CONCATENATE("R",'Mapa final'!#REF!),"")</f>
        <v>#REF!</v>
      </c>
      <c r="U18" s="371"/>
      <c r="V18" s="387" t="e">
        <f>IF(AND('Mapa final'!#REF!="Alta",'Mapa final'!#REF!="Moderado"),CONCATENATE("R",'Mapa final'!#REF!),"")</f>
        <v>#REF!</v>
      </c>
      <c r="W18" s="388"/>
      <c r="X18" s="388" t="e">
        <f>IF(AND('Mapa final'!#REF!="Alta",'Mapa final'!#REF!="Moderado"),CONCATENATE("R",'Mapa final'!#REF!),"")</f>
        <v>#REF!</v>
      </c>
      <c r="Y18" s="388"/>
      <c r="Z18" s="388" t="e">
        <f>IF(AND('Mapa final'!#REF!="Alta",'Mapa final'!#REF!="Moderado"),CONCATENATE("R",'Mapa final'!#REF!),"")</f>
        <v>#REF!</v>
      </c>
      <c r="AA18" s="389"/>
      <c r="AB18" s="387" t="e">
        <f>IF(AND('Mapa final'!#REF!="Alta",'Mapa final'!#REF!="Mayor"),CONCATENATE("R",'Mapa final'!#REF!),"")</f>
        <v>#REF!</v>
      </c>
      <c r="AC18" s="388"/>
      <c r="AD18" s="388" t="e">
        <f>IF(AND('Mapa final'!#REF!="Alta",'Mapa final'!#REF!="Mayor"),CONCATENATE("R",'Mapa final'!#REF!),"")</f>
        <v>#REF!</v>
      </c>
      <c r="AE18" s="388"/>
      <c r="AF18" s="388" t="e">
        <f>IF(AND('Mapa final'!#REF!="Alta",'Mapa final'!#REF!="Mayor"),CONCATENATE("R",'Mapa final'!#REF!),"")</f>
        <v>#REF!</v>
      </c>
      <c r="AG18" s="389"/>
      <c r="AH18" s="378" t="e">
        <f>IF(AND('Mapa final'!#REF!="Alta",'Mapa final'!#REF!="Catastrófico"),CONCATENATE("R",'Mapa final'!#REF!),"")</f>
        <v>#REF!</v>
      </c>
      <c r="AI18" s="379"/>
      <c r="AJ18" s="379" t="e">
        <f>IF(AND('Mapa final'!#REF!="Alta",'Mapa final'!#REF!="Catastrófico"),CONCATENATE("R",'Mapa final'!#REF!),"")</f>
        <v>#REF!</v>
      </c>
      <c r="AK18" s="379"/>
      <c r="AL18" s="379" t="e">
        <f>IF(AND('Mapa final'!#REF!="Alta",'Mapa final'!#REF!="Catastrófico"),CONCATENATE("R",'Mapa final'!#REF!),"")</f>
        <v>#REF!</v>
      </c>
      <c r="AM18" s="380"/>
      <c r="AN18" s="79"/>
      <c r="AO18" s="421"/>
      <c r="AP18" s="422"/>
      <c r="AQ18" s="422"/>
      <c r="AR18" s="422"/>
      <c r="AS18" s="422"/>
      <c r="AT18" s="423"/>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row>
    <row r="19" spans="1:80" ht="15" customHeight="1" x14ac:dyDescent="0.25">
      <c r="A19" s="79"/>
      <c r="B19" s="407"/>
      <c r="C19" s="407"/>
      <c r="D19" s="408"/>
      <c r="E19" s="400"/>
      <c r="F19" s="401"/>
      <c r="G19" s="401"/>
      <c r="H19" s="401"/>
      <c r="I19" s="401"/>
      <c r="J19" s="369"/>
      <c r="K19" s="370"/>
      <c r="L19" s="370"/>
      <c r="M19" s="370"/>
      <c r="N19" s="370"/>
      <c r="O19" s="371"/>
      <c r="P19" s="369"/>
      <c r="Q19" s="370"/>
      <c r="R19" s="370"/>
      <c r="S19" s="370"/>
      <c r="T19" s="370"/>
      <c r="U19" s="371"/>
      <c r="V19" s="387"/>
      <c r="W19" s="388"/>
      <c r="X19" s="388"/>
      <c r="Y19" s="388"/>
      <c r="Z19" s="388"/>
      <c r="AA19" s="389"/>
      <c r="AB19" s="387"/>
      <c r="AC19" s="388"/>
      <c r="AD19" s="388"/>
      <c r="AE19" s="388"/>
      <c r="AF19" s="388"/>
      <c r="AG19" s="389"/>
      <c r="AH19" s="378"/>
      <c r="AI19" s="379"/>
      <c r="AJ19" s="379"/>
      <c r="AK19" s="379"/>
      <c r="AL19" s="379"/>
      <c r="AM19" s="380"/>
      <c r="AN19" s="79"/>
      <c r="AO19" s="421"/>
      <c r="AP19" s="422"/>
      <c r="AQ19" s="422"/>
      <c r="AR19" s="422"/>
      <c r="AS19" s="422"/>
      <c r="AT19" s="423"/>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row>
    <row r="20" spans="1:80" ht="15" customHeight="1" x14ac:dyDescent="0.25">
      <c r="A20" s="79"/>
      <c r="B20" s="407"/>
      <c r="C20" s="407"/>
      <c r="D20" s="408"/>
      <c r="E20" s="400"/>
      <c r="F20" s="401"/>
      <c r="G20" s="401"/>
      <c r="H20" s="401"/>
      <c r="I20" s="401"/>
      <c r="J20" s="369" t="e">
        <f>IF(AND('Mapa final'!#REF!="Alta",'Mapa final'!#REF!="Leve"),CONCATENATE("R",'Mapa final'!#REF!),"")</f>
        <v>#REF!</v>
      </c>
      <c r="K20" s="370"/>
      <c r="L20" s="370" t="e">
        <f>IF(AND('Mapa final'!#REF!="Alta",'Mapa final'!#REF!="Leve"),CONCATENATE("R",'Mapa final'!#REF!),"")</f>
        <v>#REF!</v>
      </c>
      <c r="M20" s="370"/>
      <c r="N20" s="370" t="str">
        <f>IF(AND('Mapa final'!$H$61="Alta",'Mapa final'!$L$61="Leve"),CONCATENATE("R",'Mapa final'!$A$61),"")</f>
        <v/>
      </c>
      <c r="O20" s="371"/>
      <c r="P20" s="369" t="e">
        <f>IF(AND('Mapa final'!#REF!="Alta",'Mapa final'!#REF!="Menor"),CONCATENATE("R",'Mapa final'!#REF!),"")</f>
        <v>#REF!</v>
      </c>
      <c r="Q20" s="370"/>
      <c r="R20" s="370" t="e">
        <f>IF(AND('Mapa final'!#REF!="Alta",'Mapa final'!#REF!="Menor"),CONCATENATE("R",'Mapa final'!#REF!),"")</f>
        <v>#REF!</v>
      </c>
      <c r="S20" s="370"/>
      <c r="T20" s="370" t="str">
        <f>IF(AND('Mapa final'!$H$61="Alta",'Mapa final'!$L$61="Menor"),CONCATENATE("R",'Mapa final'!$A$61),"")</f>
        <v/>
      </c>
      <c r="U20" s="371"/>
      <c r="V20" s="387" t="e">
        <f>IF(AND('Mapa final'!#REF!="Alta",'Mapa final'!#REF!="Moderado"),CONCATENATE("R",'Mapa final'!#REF!),"")</f>
        <v>#REF!</v>
      </c>
      <c r="W20" s="388"/>
      <c r="X20" s="388" t="e">
        <f>IF(AND('Mapa final'!#REF!="Alta",'Mapa final'!#REF!="Moderado"),CONCATENATE("R",'Mapa final'!#REF!),"")</f>
        <v>#REF!</v>
      </c>
      <c r="Y20" s="388"/>
      <c r="Z20" s="388" t="str">
        <f>IF(AND('Mapa final'!$H$61="Alta",'Mapa final'!$L$61="Moderado"),CONCATENATE("R",'Mapa final'!$A$61),"")</f>
        <v/>
      </c>
      <c r="AA20" s="389"/>
      <c r="AB20" s="387" t="e">
        <f>IF(AND('Mapa final'!#REF!="Alta",'Mapa final'!#REF!="Mayor"),CONCATENATE("R",'Mapa final'!#REF!),"")</f>
        <v>#REF!</v>
      </c>
      <c r="AC20" s="388"/>
      <c r="AD20" s="388" t="e">
        <f>IF(AND('Mapa final'!#REF!="Alta",'Mapa final'!#REF!="Mayor"),CONCATENATE("R",'Mapa final'!#REF!),"")</f>
        <v>#REF!</v>
      </c>
      <c r="AE20" s="388"/>
      <c r="AF20" s="388" t="str">
        <f>IF(AND('Mapa final'!$H$61="Alta",'Mapa final'!$L$61="Mayor"),CONCATENATE("R",'Mapa final'!$A$61),"")</f>
        <v/>
      </c>
      <c r="AG20" s="389"/>
      <c r="AH20" s="378" t="e">
        <f>IF(AND('Mapa final'!#REF!="Alta",'Mapa final'!#REF!="Catastrófico"),CONCATENATE("R",'Mapa final'!#REF!),"")</f>
        <v>#REF!</v>
      </c>
      <c r="AI20" s="379"/>
      <c r="AJ20" s="379" t="e">
        <f>IF(AND('Mapa final'!#REF!="Alta",'Mapa final'!#REF!="Catastrófico"),CONCATENATE("R",'Mapa final'!#REF!),"")</f>
        <v>#REF!</v>
      </c>
      <c r="AK20" s="379"/>
      <c r="AL20" s="379" t="str">
        <f>IF(AND('Mapa final'!$H$61="Alta",'Mapa final'!$L$61="Catastrófico"),CONCATENATE("R",'Mapa final'!$A$61),"")</f>
        <v/>
      </c>
      <c r="AM20" s="380"/>
      <c r="AN20" s="79"/>
      <c r="AO20" s="421"/>
      <c r="AP20" s="422"/>
      <c r="AQ20" s="422"/>
      <c r="AR20" s="422"/>
      <c r="AS20" s="422"/>
      <c r="AT20" s="423"/>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row>
    <row r="21" spans="1:80" ht="15.75" customHeight="1" thickBot="1" x14ac:dyDescent="0.3">
      <c r="A21" s="79"/>
      <c r="B21" s="407"/>
      <c r="C21" s="407"/>
      <c r="D21" s="408"/>
      <c r="E21" s="403"/>
      <c r="F21" s="404"/>
      <c r="G21" s="404"/>
      <c r="H21" s="404"/>
      <c r="I21" s="404"/>
      <c r="J21" s="372"/>
      <c r="K21" s="373"/>
      <c r="L21" s="373"/>
      <c r="M21" s="373"/>
      <c r="N21" s="373"/>
      <c r="O21" s="374"/>
      <c r="P21" s="372"/>
      <c r="Q21" s="373"/>
      <c r="R21" s="373"/>
      <c r="S21" s="373"/>
      <c r="T21" s="373"/>
      <c r="U21" s="374"/>
      <c r="V21" s="390"/>
      <c r="W21" s="391"/>
      <c r="X21" s="391"/>
      <c r="Y21" s="391"/>
      <c r="Z21" s="391"/>
      <c r="AA21" s="392"/>
      <c r="AB21" s="390"/>
      <c r="AC21" s="391"/>
      <c r="AD21" s="391"/>
      <c r="AE21" s="391"/>
      <c r="AF21" s="391"/>
      <c r="AG21" s="392"/>
      <c r="AH21" s="381"/>
      <c r="AI21" s="382"/>
      <c r="AJ21" s="382"/>
      <c r="AK21" s="382"/>
      <c r="AL21" s="382"/>
      <c r="AM21" s="383"/>
      <c r="AN21" s="79"/>
      <c r="AO21" s="424"/>
      <c r="AP21" s="425"/>
      <c r="AQ21" s="425"/>
      <c r="AR21" s="425"/>
      <c r="AS21" s="425"/>
      <c r="AT21" s="426"/>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row>
    <row r="22" spans="1:80" x14ac:dyDescent="0.25">
      <c r="A22" s="79"/>
      <c r="B22" s="407"/>
      <c r="C22" s="407"/>
      <c r="D22" s="408"/>
      <c r="E22" s="397" t="s">
        <v>117</v>
      </c>
      <c r="F22" s="398"/>
      <c r="G22" s="398"/>
      <c r="H22" s="398"/>
      <c r="I22" s="399"/>
      <c r="J22" s="375" t="e">
        <f>IF(AND('Mapa final'!#REF!="Media",'Mapa final'!#REF!="Leve"),CONCATENATE("R",'Mapa final'!#REF!),"")</f>
        <v>#REF!</v>
      </c>
      <c r="K22" s="376"/>
      <c r="L22" s="376" t="str">
        <f>IF(AND('Mapa final'!$H$19="Media",'Mapa final'!$L$19="Leve"),CONCATENATE("R",'Mapa final'!$A$19),"")</f>
        <v/>
      </c>
      <c r="M22" s="376"/>
      <c r="N22" s="376" t="str">
        <f>IF(AND('Mapa final'!$H$29="Media",'Mapa final'!$L$29="Leve"),CONCATENATE("R",'Mapa final'!$A$29),"")</f>
        <v/>
      </c>
      <c r="O22" s="377"/>
      <c r="P22" s="375" t="e">
        <f>IF(AND('Mapa final'!#REF!="Media",'Mapa final'!#REF!="Menor"),CONCATENATE("R",'Mapa final'!#REF!),"")</f>
        <v>#REF!</v>
      </c>
      <c r="Q22" s="376"/>
      <c r="R22" s="376" t="str">
        <f>IF(AND('Mapa final'!$H$19="Media",'Mapa final'!$L$19="Menor"),CONCATENATE("R",'Mapa final'!$A$19),"")</f>
        <v/>
      </c>
      <c r="S22" s="376"/>
      <c r="T22" s="376" t="str">
        <f>IF(AND('Mapa final'!$H$29="Media",'Mapa final'!$L$29="Menor"),CONCATENATE("R",'Mapa final'!$A$29),"")</f>
        <v/>
      </c>
      <c r="U22" s="377"/>
      <c r="V22" s="375" t="e">
        <f>IF(AND('Mapa final'!#REF!="Media",'Mapa final'!#REF!="Moderado"),CONCATENATE("R",'Mapa final'!#REF!),"")</f>
        <v>#REF!</v>
      </c>
      <c r="W22" s="376"/>
      <c r="X22" s="376" t="str">
        <f>IF(AND('Mapa final'!$H$19="Media",'Mapa final'!$L$19="Moderado"),CONCATENATE("R",'Mapa final'!$A$19),"")</f>
        <v/>
      </c>
      <c r="Y22" s="376"/>
      <c r="Z22" s="376" t="str">
        <f>IF(AND('Mapa final'!$H$29="Media",'Mapa final'!$L$29="Moderado"),CONCATENATE("R",'Mapa final'!$A$29),"")</f>
        <v>R10</v>
      </c>
      <c r="AA22" s="377"/>
      <c r="AB22" s="393" t="e">
        <f>IF(AND('Mapa final'!#REF!="Media",'Mapa final'!#REF!="Mayor"),CONCATENATE("R",'Mapa final'!#REF!),"")</f>
        <v>#REF!</v>
      </c>
      <c r="AC22" s="394"/>
      <c r="AD22" s="394" t="str">
        <f>IF(AND('Mapa final'!$H$19="Media",'Mapa final'!$L$19="Mayor"),CONCATENATE("R",'Mapa final'!$A$19),"")</f>
        <v>R4</v>
      </c>
      <c r="AE22" s="394"/>
      <c r="AF22" s="394" t="str">
        <f>IF(AND('Mapa final'!$H$29="Media",'Mapa final'!$L$29="Mayor"),CONCATENATE("R",'Mapa final'!$A$29),"")</f>
        <v/>
      </c>
      <c r="AG22" s="395"/>
      <c r="AH22" s="384" t="e">
        <f>IF(AND('Mapa final'!#REF!="Media",'Mapa final'!#REF!="Catastrófico"),CONCATENATE("R",'Mapa final'!#REF!),"")</f>
        <v>#REF!</v>
      </c>
      <c r="AI22" s="385"/>
      <c r="AJ22" s="385" t="str">
        <f>IF(AND('Mapa final'!$H$19="Media",'Mapa final'!$L$19="Catastrófico"),CONCATENATE("R",'Mapa final'!$A$19),"")</f>
        <v/>
      </c>
      <c r="AK22" s="385"/>
      <c r="AL22" s="385" t="str">
        <f>IF(AND('Mapa final'!$H$29="Media",'Mapa final'!$L$29="Catastrófico"),CONCATENATE("R",'Mapa final'!$A$29),"")</f>
        <v/>
      </c>
      <c r="AM22" s="386"/>
      <c r="AN22" s="79"/>
      <c r="AO22" s="427" t="s">
        <v>81</v>
      </c>
      <c r="AP22" s="428"/>
      <c r="AQ22" s="428"/>
      <c r="AR22" s="428"/>
      <c r="AS22" s="428"/>
      <c r="AT22" s="42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row>
    <row r="23" spans="1:80" x14ac:dyDescent="0.25">
      <c r="A23" s="79"/>
      <c r="B23" s="407"/>
      <c r="C23" s="407"/>
      <c r="D23" s="408"/>
      <c r="E23" s="400"/>
      <c r="F23" s="401"/>
      <c r="G23" s="401"/>
      <c r="H23" s="401"/>
      <c r="I23" s="402"/>
      <c r="J23" s="369"/>
      <c r="K23" s="370"/>
      <c r="L23" s="370"/>
      <c r="M23" s="370"/>
      <c r="N23" s="370"/>
      <c r="O23" s="371"/>
      <c r="P23" s="369"/>
      <c r="Q23" s="370"/>
      <c r="R23" s="370"/>
      <c r="S23" s="370"/>
      <c r="T23" s="370"/>
      <c r="U23" s="371"/>
      <c r="V23" s="369"/>
      <c r="W23" s="370"/>
      <c r="X23" s="370"/>
      <c r="Y23" s="370"/>
      <c r="Z23" s="370"/>
      <c r="AA23" s="371"/>
      <c r="AB23" s="387"/>
      <c r="AC23" s="388"/>
      <c r="AD23" s="388"/>
      <c r="AE23" s="388"/>
      <c r="AF23" s="388"/>
      <c r="AG23" s="389"/>
      <c r="AH23" s="378"/>
      <c r="AI23" s="379"/>
      <c r="AJ23" s="379"/>
      <c r="AK23" s="379"/>
      <c r="AL23" s="379"/>
      <c r="AM23" s="380"/>
      <c r="AN23" s="79"/>
      <c r="AO23" s="430"/>
      <c r="AP23" s="431"/>
      <c r="AQ23" s="431"/>
      <c r="AR23" s="431"/>
      <c r="AS23" s="431"/>
      <c r="AT23" s="432"/>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row>
    <row r="24" spans="1:80" x14ac:dyDescent="0.25">
      <c r="A24" s="79"/>
      <c r="B24" s="407"/>
      <c r="C24" s="407"/>
      <c r="D24" s="408"/>
      <c r="E24" s="400"/>
      <c r="F24" s="401"/>
      <c r="G24" s="401"/>
      <c r="H24" s="401"/>
      <c r="I24" s="402"/>
      <c r="J24" s="369" t="str">
        <f>IF(AND('Mapa final'!$H$43="Media",'Mapa final'!$L$43="Leve"),CONCATENATE("R",'Mapa final'!$A$43),"")</f>
        <v/>
      </c>
      <c r="K24" s="370"/>
      <c r="L24" s="370" t="str">
        <f>IF(AND('Mapa final'!$H$49="Media",'Mapa final'!$L$49="Leve"),CONCATENATE("R",'Mapa final'!$A$49),"")</f>
        <v/>
      </c>
      <c r="M24" s="370"/>
      <c r="N24" s="370" t="str">
        <f>IF(AND('Mapa final'!$H$54="Media",'Mapa final'!$L$54="Leve"),CONCATENATE("R",'Mapa final'!$A$54),"")</f>
        <v/>
      </c>
      <c r="O24" s="371"/>
      <c r="P24" s="369" t="str">
        <f>IF(AND('Mapa final'!$H$43="Media",'Mapa final'!$L$43="Menor"),CONCATENATE("R",'Mapa final'!$A$43),"")</f>
        <v/>
      </c>
      <c r="Q24" s="370"/>
      <c r="R24" s="370" t="str">
        <f>IF(AND('Mapa final'!$H$49="Media",'Mapa final'!$L$49="Menor"),CONCATENATE("R",'Mapa final'!$A$49),"")</f>
        <v/>
      </c>
      <c r="S24" s="370"/>
      <c r="T24" s="370" t="str">
        <f>IF(AND('Mapa final'!$H$54="Media",'Mapa final'!$L$54="Menor"),CONCATENATE("R",'Mapa final'!$A$54),"")</f>
        <v>R28</v>
      </c>
      <c r="U24" s="371"/>
      <c r="V24" s="369" t="str">
        <f>IF(AND('Mapa final'!$H$43="Media",'Mapa final'!$L$43="Moderado"),CONCATENATE("R",'Mapa final'!$A$43),"")</f>
        <v>R17</v>
      </c>
      <c r="W24" s="370"/>
      <c r="X24" s="370" t="str">
        <f>IF(AND('Mapa final'!$H$49="Media",'Mapa final'!$L$49="Moderado"),CONCATENATE("R",'Mapa final'!$A$49),"")</f>
        <v>R23</v>
      </c>
      <c r="Y24" s="370"/>
      <c r="Z24" s="370" t="str">
        <f>IF(AND('Mapa final'!$H$54="Media",'Mapa final'!$L$54="Moderado"),CONCATENATE("R",'Mapa final'!$A$54),"")</f>
        <v/>
      </c>
      <c r="AA24" s="371"/>
      <c r="AB24" s="387" t="str">
        <f>IF(AND('Mapa final'!$H$43="Media",'Mapa final'!$L$43="Mayor"),CONCATENATE("R",'Mapa final'!$A$43),"")</f>
        <v/>
      </c>
      <c r="AC24" s="388"/>
      <c r="AD24" s="388" t="str">
        <f>IF(AND('Mapa final'!$H$49="Media",'Mapa final'!$L$49="Mayor"),CONCATENATE("R",'Mapa final'!$A$49),"")</f>
        <v/>
      </c>
      <c r="AE24" s="388"/>
      <c r="AF24" s="388" t="str">
        <f>IF(AND('Mapa final'!$H$54="Media",'Mapa final'!$L$54="Mayor"),CONCATENATE("R",'Mapa final'!$A$54),"")</f>
        <v/>
      </c>
      <c r="AG24" s="389"/>
      <c r="AH24" s="378" t="str">
        <f>IF(AND('Mapa final'!$H$43="Media",'Mapa final'!$L$43="Catastrófico"),CONCATENATE("R",'Mapa final'!$A$43),"")</f>
        <v/>
      </c>
      <c r="AI24" s="379"/>
      <c r="AJ24" s="379" t="str">
        <f>IF(AND('Mapa final'!$H$49="Media",'Mapa final'!$L$49="Catastrófico"),CONCATENATE("R",'Mapa final'!$A$49),"")</f>
        <v/>
      </c>
      <c r="AK24" s="379"/>
      <c r="AL24" s="379" t="str">
        <f>IF(AND('Mapa final'!$H$54="Media",'Mapa final'!$L$54="Catastrófico"),CONCATENATE("R",'Mapa final'!$A$54),"")</f>
        <v/>
      </c>
      <c r="AM24" s="380"/>
      <c r="AN24" s="79"/>
      <c r="AO24" s="430"/>
      <c r="AP24" s="431"/>
      <c r="AQ24" s="431"/>
      <c r="AR24" s="431"/>
      <c r="AS24" s="431"/>
      <c r="AT24" s="432"/>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row>
    <row r="25" spans="1:80" x14ac:dyDescent="0.25">
      <c r="A25" s="79"/>
      <c r="B25" s="407"/>
      <c r="C25" s="407"/>
      <c r="D25" s="408"/>
      <c r="E25" s="400"/>
      <c r="F25" s="401"/>
      <c r="G25" s="401"/>
      <c r="H25" s="401"/>
      <c r="I25" s="402"/>
      <c r="J25" s="369"/>
      <c r="K25" s="370"/>
      <c r="L25" s="370"/>
      <c r="M25" s="370"/>
      <c r="N25" s="370"/>
      <c r="O25" s="371"/>
      <c r="P25" s="369"/>
      <c r="Q25" s="370"/>
      <c r="R25" s="370"/>
      <c r="S25" s="370"/>
      <c r="T25" s="370"/>
      <c r="U25" s="371"/>
      <c r="V25" s="369"/>
      <c r="W25" s="370"/>
      <c r="X25" s="370"/>
      <c r="Y25" s="370"/>
      <c r="Z25" s="370"/>
      <c r="AA25" s="371"/>
      <c r="AB25" s="387"/>
      <c r="AC25" s="388"/>
      <c r="AD25" s="388"/>
      <c r="AE25" s="388"/>
      <c r="AF25" s="388"/>
      <c r="AG25" s="389"/>
      <c r="AH25" s="378"/>
      <c r="AI25" s="379"/>
      <c r="AJ25" s="379"/>
      <c r="AK25" s="379"/>
      <c r="AL25" s="379"/>
      <c r="AM25" s="380"/>
      <c r="AN25" s="79"/>
      <c r="AO25" s="430"/>
      <c r="AP25" s="431"/>
      <c r="AQ25" s="431"/>
      <c r="AR25" s="431"/>
      <c r="AS25" s="431"/>
      <c r="AT25" s="432"/>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row>
    <row r="26" spans="1:80" x14ac:dyDescent="0.25">
      <c r="A26" s="79"/>
      <c r="B26" s="407"/>
      <c r="C26" s="407"/>
      <c r="D26" s="408"/>
      <c r="E26" s="400"/>
      <c r="F26" s="401"/>
      <c r="G26" s="401"/>
      <c r="H26" s="401"/>
      <c r="I26" s="402"/>
      <c r="J26" s="369" t="e">
        <f>IF(AND('Mapa final'!#REF!="Media",'Mapa final'!#REF!="Leve"),CONCATENATE("R",'Mapa final'!#REF!),"")</f>
        <v>#REF!</v>
      </c>
      <c r="K26" s="370"/>
      <c r="L26" s="370" t="e">
        <f>IF(AND('Mapa final'!#REF!="Media",'Mapa final'!#REF!="Leve"),CONCATENATE("R",'Mapa final'!#REF!),"")</f>
        <v>#REF!</v>
      </c>
      <c r="M26" s="370"/>
      <c r="N26" s="370" t="e">
        <f>IF(AND('Mapa final'!#REF!="Media",'Mapa final'!#REF!="Leve"),CONCATENATE("R",'Mapa final'!#REF!),"")</f>
        <v>#REF!</v>
      </c>
      <c r="O26" s="371"/>
      <c r="P26" s="369" t="e">
        <f>IF(AND('Mapa final'!#REF!="Media",'Mapa final'!#REF!="Menor"),CONCATENATE("R",'Mapa final'!#REF!),"")</f>
        <v>#REF!</v>
      </c>
      <c r="Q26" s="370"/>
      <c r="R26" s="370" t="e">
        <f>IF(AND('Mapa final'!#REF!="Media",'Mapa final'!#REF!="Menor"),CONCATENATE("R",'Mapa final'!#REF!),"")</f>
        <v>#REF!</v>
      </c>
      <c r="S26" s="370"/>
      <c r="T26" s="370" t="e">
        <f>IF(AND('Mapa final'!#REF!="Media",'Mapa final'!#REF!="Menor"),CONCATENATE("R",'Mapa final'!#REF!),"")</f>
        <v>#REF!</v>
      </c>
      <c r="U26" s="371"/>
      <c r="V26" s="369" t="e">
        <f>IF(AND('Mapa final'!#REF!="Media",'Mapa final'!#REF!="Moderado"),CONCATENATE("R",'Mapa final'!#REF!),"")</f>
        <v>#REF!</v>
      </c>
      <c r="W26" s="370"/>
      <c r="X26" s="370" t="e">
        <f>IF(AND('Mapa final'!#REF!="Media",'Mapa final'!#REF!="Moderado"),CONCATENATE("R",'Mapa final'!#REF!),"")</f>
        <v>#REF!</v>
      </c>
      <c r="Y26" s="370"/>
      <c r="Z26" s="370" t="e">
        <f>IF(AND('Mapa final'!#REF!="Media",'Mapa final'!#REF!="Moderado"),CONCATENATE("R",'Mapa final'!#REF!),"")</f>
        <v>#REF!</v>
      </c>
      <c r="AA26" s="371"/>
      <c r="AB26" s="387" t="e">
        <f>IF(AND('Mapa final'!#REF!="Media",'Mapa final'!#REF!="Mayor"),CONCATENATE("R",'Mapa final'!#REF!),"")</f>
        <v>#REF!</v>
      </c>
      <c r="AC26" s="388"/>
      <c r="AD26" s="388" t="e">
        <f>IF(AND('Mapa final'!#REF!="Media",'Mapa final'!#REF!="Mayor"),CONCATENATE("R",'Mapa final'!#REF!),"")</f>
        <v>#REF!</v>
      </c>
      <c r="AE26" s="388"/>
      <c r="AF26" s="388" t="e">
        <f>IF(AND('Mapa final'!#REF!="Media",'Mapa final'!#REF!="Mayor"),CONCATENATE("R",'Mapa final'!#REF!),"")</f>
        <v>#REF!</v>
      </c>
      <c r="AG26" s="389"/>
      <c r="AH26" s="378" t="e">
        <f>IF(AND('Mapa final'!#REF!="Media",'Mapa final'!#REF!="Catastrófico"),CONCATENATE("R",'Mapa final'!#REF!),"")</f>
        <v>#REF!</v>
      </c>
      <c r="AI26" s="379"/>
      <c r="AJ26" s="379" t="e">
        <f>IF(AND('Mapa final'!#REF!="Media",'Mapa final'!#REF!="Catastrófico"),CONCATENATE("R",'Mapa final'!#REF!),"")</f>
        <v>#REF!</v>
      </c>
      <c r="AK26" s="379"/>
      <c r="AL26" s="379" t="e">
        <f>IF(AND('Mapa final'!#REF!="Media",'Mapa final'!#REF!="Catastrófico"),CONCATENATE("R",'Mapa final'!#REF!),"")</f>
        <v>#REF!</v>
      </c>
      <c r="AM26" s="380"/>
      <c r="AN26" s="79"/>
      <c r="AO26" s="430"/>
      <c r="AP26" s="431"/>
      <c r="AQ26" s="431"/>
      <c r="AR26" s="431"/>
      <c r="AS26" s="431"/>
      <c r="AT26" s="432"/>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row>
    <row r="27" spans="1:80" x14ac:dyDescent="0.25">
      <c r="A27" s="79"/>
      <c r="B27" s="407"/>
      <c r="C27" s="407"/>
      <c r="D27" s="408"/>
      <c r="E27" s="400"/>
      <c r="F27" s="401"/>
      <c r="G27" s="401"/>
      <c r="H27" s="401"/>
      <c r="I27" s="402"/>
      <c r="J27" s="369"/>
      <c r="K27" s="370"/>
      <c r="L27" s="370"/>
      <c r="M27" s="370"/>
      <c r="N27" s="370"/>
      <c r="O27" s="371"/>
      <c r="P27" s="369"/>
      <c r="Q27" s="370"/>
      <c r="R27" s="370"/>
      <c r="S27" s="370"/>
      <c r="T27" s="370"/>
      <c r="U27" s="371"/>
      <c r="V27" s="369"/>
      <c r="W27" s="370"/>
      <c r="X27" s="370"/>
      <c r="Y27" s="370"/>
      <c r="Z27" s="370"/>
      <c r="AA27" s="371"/>
      <c r="AB27" s="387"/>
      <c r="AC27" s="388"/>
      <c r="AD27" s="388"/>
      <c r="AE27" s="388"/>
      <c r="AF27" s="388"/>
      <c r="AG27" s="389"/>
      <c r="AH27" s="378"/>
      <c r="AI27" s="379"/>
      <c r="AJ27" s="379"/>
      <c r="AK27" s="379"/>
      <c r="AL27" s="379"/>
      <c r="AM27" s="380"/>
      <c r="AN27" s="79"/>
      <c r="AO27" s="430"/>
      <c r="AP27" s="431"/>
      <c r="AQ27" s="431"/>
      <c r="AR27" s="431"/>
      <c r="AS27" s="431"/>
      <c r="AT27" s="432"/>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row>
    <row r="28" spans="1:80" x14ac:dyDescent="0.25">
      <c r="A28" s="79"/>
      <c r="B28" s="407"/>
      <c r="C28" s="407"/>
      <c r="D28" s="408"/>
      <c r="E28" s="400"/>
      <c r="F28" s="401"/>
      <c r="G28" s="401"/>
      <c r="H28" s="401"/>
      <c r="I28" s="402"/>
      <c r="J28" s="369" t="e">
        <f>IF(AND('Mapa final'!#REF!="Media",'Mapa final'!#REF!="Leve"),CONCATENATE("R",'Mapa final'!#REF!),"")</f>
        <v>#REF!</v>
      </c>
      <c r="K28" s="370"/>
      <c r="L28" s="370" t="e">
        <f>IF(AND('Mapa final'!#REF!="Media",'Mapa final'!#REF!="Leve"),CONCATENATE("R",'Mapa final'!#REF!),"")</f>
        <v>#REF!</v>
      </c>
      <c r="M28" s="370"/>
      <c r="N28" s="370" t="str">
        <f>IF(AND('Mapa final'!$H$61="Media",'Mapa final'!$L$61="Leve"),CONCATENATE("R",'Mapa final'!$A$61),"")</f>
        <v/>
      </c>
      <c r="O28" s="371"/>
      <c r="P28" s="369" t="e">
        <f>IF(AND('Mapa final'!#REF!="Media",'Mapa final'!#REF!="Menor"),CONCATENATE("R",'Mapa final'!#REF!),"")</f>
        <v>#REF!</v>
      </c>
      <c r="Q28" s="370"/>
      <c r="R28" s="370" t="e">
        <f>IF(AND('Mapa final'!#REF!="Media",'Mapa final'!#REF!="Menor"),CONCATENATE("R",'Mapa final'!#REF!),"")</f>
        <v>#REF!</v>
      </c>
      <c r="S28" s="370"/>
      <c r="T28" s="370" t="str">
        <f>IF(AND('Mapa final'!$H$61="Media",'Mapa final'!$L$61="Menor"),CONCATENATE("R",'Mapa final'!$A$61),"")</f>
        <v/>
      </c>
      <c r="U28" s="371"/>
      <c r="V28" s="369" t="e">
        <f>IF(AND('Mapa final'!#REF!="Media",'Mapa final'!#REF!="Moderado"),CONCATENATE("R",'Mapa final'!#REF!),"")</f>
        <v>#REF!</v>
      </c>
      <c r="W28" s="370"/>
      <c r="X28" s="370" t="e">
        <f>IF(AND('Mapa final'!#REF!="Media",'Mapa final'!#REF!="Moderado"),CONCATENATE("R",'Mapa final'!#REF!),"")</f>
        <v>#REF!</v>
      </c>
      <c r="Y28" s="370"/>
      <c r="Z28" s="370" t="str">
        <f>IF(AND('Mapa final'!$H$61="Media",'Mapa final'!$L$61="Moderado"),CONCATENATE("R",'Mapa final'!$A$61),"")</f>
        <v/>
      </c>
      <c r="AA28" s="371"/>
      <c r="AB28" s="387" t="e">
        <f>IF(AND('Mapa final'!#REF!="Media",'Mapa final'!#REF!="Mayor"),CONCATENATE("R",'Mapa final'!#REF!),"")</f>
        <v>#REF!</v>
      </c>
      <c r="AC28" s="388"/>
      <c r="AD28" s="388" t="e">
        <f>IF(AND('Mapa final'!#REF!="Media",'Mapa final'!#REF!="Mayor"),CONCATENATE("R",'Mapa final'!#REF!),"")</f>
        <v>#REF!</v>
      </c>
      <c r="AE28" s="388"/>
      <c r="AF28" s="388" t="str">
        <f>IF(AND('Mapa final'!$H$61="Media",'Mapa final'!$L$61="Mayor"),CONCATENATE("R",'Mapa final'!$A$61),"")</f>
        <v/>
      </c>
      <c r="AG28" s="389"/>
      <c r="AH28" s="378" t="e">
        <f>IF(AND('Mapa final'!#REF!="Media",'Mapa final'!#REF!="Catastrófico"),CONCATENATE("R",'Mapa final'!#REF!),"")</f>
        <v>#REF!</v>
      </c>
      <c r="AI28" s="379"/>
      <c r="AJ28" s="379" t="e">
        <f>IF(AND('Mapa final'!#REF!="Media",'Mapa final'!#REF!="Catastrófico"),CONCATENATE("R",'Mapa final'!#REF!),"")</f>
        <v>#REF!</v>
      </c>
      <c r="AK28" s="379"/>
      <c r="AL28" s="379" t="str">
        <f>IF(AND('Mapa final'!$H$61="Media",'Mapa final'!$L$61="Catastrófico"),CONCATENATE("R",'Mapa final'!$A$61),"")</f>
        <v/>
      </c>
      <c r="AM28" s="380"/>
      <c r="AN28" s="79"/>
      <c r="AO28" s="430"/>
      <c r="AP28" s="431"/>
      <c r="AQ28" s="431"/>
      <c r="AR28" s="431"/>
      <c r="AS28" s="431"/>
      <c r="AT28" s="432"/>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row>
    <row r="29" spans="1:80" ht="15.75" thickBot="1" x14ac:dyDescent="0.3">
      <c r="A29" s="79"/>
      <c r="B29" s="407"/>
      <c r="C29" s="407"/>
      <c r="D29" s="408"/>
      <c r="E29" s="403"/>
      <c r="F29" s="404"/>
      <c r="G29" s="404"/>
      <c r="H29" s="404"/>
      <c r="I29" s="405"/>
      <c r="J29" s="369"/>
      <c r="K29" s="370"/>
      <c r="L29" s="370"/>
      <c r="M29" s="370"/>
      <c r="N29" s="370"/>
      <c r="O29" s="371"/>
      <c r="P29" s="372"/>
      <c r="Q29" s="373"/>
      <c r="R29" s="373"/>
      <c r="S29" s="373"/>
      <c r="T29" s="373"/>
      <c r="U29" s="374"/>
      <c r="V29" s="372"/>
      <c r="W29" s="373"/>
      <c r="X29" s="373"/>
      <c r="Y29" s="373"/>
      <c r="Z29" s="373"/>
      <c r="AA29" s="374"/>
      <c r="AB29" s="390"/>
      <c r="AC29" s="391"/>
      <c r="AD29" s="391"/>
      <c r="AE29" s="391"/>
      <c r="AF29" s="391"/>
      <c r="AG29" s="392"/>
      <c r="AH29" s="381"/>
      <c r="AI29" s="382"/>
      <c r="AJ29" s="382"/>
      <c r="AK29" s="382"/>
      <c r="AL29" s="382"/>
      <c r="AM29" s="383"/>
      <c r="AN29" s="79"/>
      <c r="AO29" s="433"/>
      <c r="AP29" s="434"/>
      <c r="AQ29" s="434"/>
      <c r="AR29" s="434"/>
      <c r="AS29" s="434"/>
      <c r="AT29" s="435"/>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row>
    <row r="30" spans="1:80" x14ac:dyDescent="0.25">
      <c r="A30" s="79"/>
      <c r="B30" s="407"/>
      <c r="C30" s="407"/>
      <c r="D30" s="408"/>
      <c r="E30" s="397" t="s">
        <v>114</v>
      </c>
      <c r="F30" s="398"/>
      <c r="G30" s="398"/>
      <c r="H30" s="398"/>
      <c r="I30" s="398"/>
      <c r="J30" s="366" t="e">
        <f>IF(AND('Mapa final'!#REF!="Baja",'Mapa final'!#REF!="Leve"),CONCATENATE("R",'Mapa final'!#REF!),"")</f>
        <v>#REF!</v>
      </c>
      <c r="K30" s="367"/>
      <c r="L30" s="367" t="str">
        <f>IF(AND('Mapa final'!$H$19="Baja",'Mapa final'!$L$19="Leve"),CONCATENATE("R",'Mapa final'!$A$19),"")</f>
        <v/>
      </c>
      <c r="M30" s="367"/>
      <c r="N30" s="367" t="str">
        <f>IF(AND('Mapa final'!$H$29="Baja",'Mapa final'!$L$29="Leve"),CONCATENATE("R",'Mapa final'!$A$29),"")</f>
        <v/>
      </c>
      <c r="O30" s="368"/>
      <c r="P30" s="376" t="e">
        <f>IF(AND('Mapa final'!#REF!="Baja",'Mapa final'!#REF!="Menor"),CONCATENATE("R",'Mapa final'!#REF!),"")</f>
        <v>#REF!</v>
      </c>
      <c r="Q30" s="376"/>
      <c r="R30" s="376" t="str">
        <f>IF(AND('Mapa final'!$H$19="Baja",'Mapa final'!$L$19="Menor"),CONCATENATE("R",'Mapa final'!$A$19),"")</f>
        <v/>
      </c>
      <c r="S30" s="376"/>
      <c r="T30" s="376" t="str">
        <f>IF(AND('Mapa final'!$H$29="Baja",'Mapa final'!$L$29="Menor"),CONCATENATE("R",'Mapa final'!$A$29),"")</f>
        <v/>
      </c>
      <c r="U30" s="377"/>
      <c r="V30" s="375" t="e">
        <f>IF(AND('Mapa final'!#REF!="Baja",'Mapa final'!#REF!="Moderado"),CONCATENATE("R",'Mapa final'!#REF!),"")</f>
        <v>#REF!</v>
      </c>
      <c r="W30" s="376"/>
      <c r="X30" s="376" t="str">
        <f>IF(AND('Mapa final'!$H$19="Baja",'Mapa final'!$L$19="Moderado"),CONCATENATE("R",'Mapa final'!$A$19),"")</f>
        <v/>
      </c>
      <c r="Y30" s="376"/>
      <c r="Z30" s="376" t="str">
        <f>IF(AND('Mapa final'!$H$29="Baja",'Mapa final'!$L$29="Moderado"),CONCATENATE("R",'Mapa final'!$A$29),"")</f>
        <v/>
      </c>
      <c r="AA30" s="377"/>
      <c r="AB30" s="393" t="e">
        <f>IF(AND('Mapa final'!#REF!="Baja",'Mapa final'!#REF!="Mayor"),CONCATENATE("R",'Mapa final'!#REF!),"")</f>
        <v>#REF!</v>
      </c>
      <c r="AC30" s="394"/>
      <c r="AD30" s="394" t="str">
        <f>IF(AND('Mapa final'!$H$19="Baja",'Mapa final'!$L$19="Mayor"),CONCATENATE("R",'Mapa final'!$A$19),"")</f>
        <v/>
      </c>
      <c r="AE30" s="394"/>
      <c r="AF30" s="394" t="str">
        <f>IF(AND('Mapa final'!$H$29="Baja",'Mapa final'!$L$29="Mayor"),CONCATENATE("R",'Mapa final'!$A$29),"")</f>
        <v/>
      </c>
      <c r="AG30" s="395"/>
      <c r="AH30" s="384" t="e">
        <f>IF(AND('Mapa final'!#REF!="Baja",'Mapa final'!#REF!="Catastrófico"),CONCATENATE("R",'Mapa final'!#REF!),"")</f>
        <v>#REF!</v>
      </c>
      <c r="AI30" s="385"/>
      <c r="AJ30" s="385" t="str">
        <f>IF(AND('Mapa final'!$H$19="Baja",'Mapa final'!$L$19="Catastrófico"),CONCATENATE("R",'Mapa final'!$A$19),"")</f>
        <v/>
      </c>
      <c r="AK30" s="385"/>
      <c r="AL30" s="385" t="str">
        <f>IF(AND('Mapa final'!$H$29="Baja",'Mapa final'!$L$29="Catastrófico"),CONCATENATE("R",'Mapa final'!$A$29),"")</f>
        <v/>
      </c>
      <c r="AM30" s="386"/>
      <c r="AN30" s="79"/>
      <c r="AO30" s="436" t="s">
        <v>82</v>
      </c>
      <c r="AP30" s="437"/>
      <c r="AQ30" s="437"/>
      <c r="AR30" s="437"/>
      <c r="AS30" s="437"/>
      <c r="AT30" s="438"/>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row>
    <row r="31" spans="1:80" x14ac:dyDescent="0.25">
      <c r="A31" s="79"/>
      <c r="B31" s="407"/>
      <c r="C31" s="407"/>
      <c r="D31" s="408"/>
      <c r="E31" s="400"/>
      <c r="F31" s="401"/>
      <c r="G31" s="401"/>
      <c r="H31" s="401"/>
      <c r="I31" s="401"/>
      <c r="J31" s="360"/>
      <c r="K31" s="361"/>
      <c r="L31" s="361"/>
      <c r="M31" s="361"/>
      <c r="N31" s="361"/>
      <c r="O31" s="362"/>
      <c r="P31" s="370"/>
      <c r="Q31" s="370"/>
      <c r="R31" s="370"/>
      <c r="S31" s="370"/>
      <c r="T31" s="370"/>
      <c r="U31" s="371"/>
      <c r="V31" s="369"/>
      <c r="W31" s="370"/>
      <c r="X31" s="370"/>
      <c r="Y31" s="370"/>
      <c r="Z31" s="370"/>
      <c r="AA31" s="371"/>
      <c r="AB31" s="387"/>
      <c r="AC31" s="388"/>
      <c r="AD31" s="388"/>
      <c r="AE31" s="388"/>
      <c r="AF31" s="388"/>
      <c r="AG31" s="389"/>
      <c r="AH31" s="378"/>
      <c r="AI31" s="379"/>
      <c r="AJ31" s="379"/>
      <c r="AK31" s="379"/>
      <c r="AL31" s="379"/>
      <c r="AM31" s="380"/>
      <c r="AN31" s="79"/>
      <c r="AO31" s="439"/>
      <c r="AP31" s="440"/>
      <c r="AQ31" s="440"/>
      <c r="AR31" s="440"/>
      <c r="AS31" s="440"/>
      <c r="AT31" s="441"/>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row>
    <row r="32" spans="1:80" x14ac:dyDescent="0.25">
      <c r="A32" s="79"/>
      <c r="B32" s="407"/>
      <c r="C32" s="407"/>
      <c r="D32" s="408"/>
      <c r="E32" s="400"/>
      <c r="F32" s="401"/>
      <c r="G32" s="401"/>
      <c r="H32" s="401"/>
      <c r="I32" s="401"/>
      <c r="J32" s="360" t="str">
        <f>IF(AND('Mapa final'!$H$43="Baja",'Mapa final'!$L$43="Leve"),CONCATENATE("R",'Mapa final'!$A$43),"")</f>
        <v/>
      </c>
      <c r="K32" s="361"/>
      <c r="L32" s="361" t="str">
        <f>IF(AND('Mapa final'!$H$49="Baja",'Mapa final'!$L$49="Leve"),CONCATENATE("R",'Mapa final'!$A$49),"")</f>
        <v/>
      </c>
      <c r="M32" s="361"/>
      <c r="N32" s="361" t="str">
        <f>IF(AND('Mapa final'!$H$54="Baja",'Mapa final'!$L$54="Leve"),CONCATENATE("R",'Mapa final'!$A$54),"")</f>
        <v/>
      </c>
      <c r="O32" s="362"/>
      <c r="P32" s="370" t="str">
        <f>IF(AND('Mapa final'!$H$43="Baja",'Mapa final'!$L$43="Menor"),CONCATENATE("R",'Mapa final'!$A$43),"")</f>
        <v/>
      </c>
      <c r="Q32" s="370"/>
      <c r="R32" s="370" t="str">
        <f>IF(AND('Mapa final'!$H$49="Baja",'Mapa final'!$L$49="Menor"),CONCATENATE("R",'Mapa final'!$A$49),"")</f>
        <v/>
      </c>
      <c r="S32" s="370"/>
      <c r="T32" s="370" t="str">
        <f>IF(AND('Mapa final'!$H$54="Baja",'Mapa final'!$L$54="Menor"),CONCATENATE("R",'Mapa final'!$A$54),"")</f>
        <v/>
      </c>
      <c r="U32" s="371"/>
      <c r="V32" s="369" t="str">
        <f>IF(AND('Mapa final'!$H$43="Baja",'Mapa final'!$L$43="Moderado"),CONCATENATE("R",'Mapa final'!$A$43),"")</f>
        <v/>
      </c>
      <c r="W32" s="370"/>
      <c r="X32" s="370" t="str">
        <f>IF(AND('Mapa final'!$H$49="Baja",'Mapa final'!$L$49="Moderado"),CONCATENATE("R",'Mapa final'!$A$49),"")</f>
        <v/>
      </c>
      <c r="Y32" s="370"/>
      <c r="Z32" s="370" t="str">
        <f>IF(AND('Mapa final'!$H$54="Baja",'Mapa final'!$L$54="Moderado"),CONCATENATE("R",'Mapa final'!$A$54),"")</f>
        <v/>
      </c>
      <c r="AA32" s="371"/>
      <c r="AB32" s="387" t="str">
        <f>IF(AND('Mapa final'!$H$43="Baja",'Mapa final'!$L$43="Mayor"),CONCATENATE("R",'Mapa final'!$A$43),"")</f>
        <v/>
      </c>
      <c r="AC32" s="388"/>
      <c r="AD32" s="388" t="str">
        <f>IF(AND('Mapa final'!$H$49="Baja",'Mapa final'!$L$49="Mayor"),CONCATENATE("R",'Mapa final'!$A$49),"")</f>
        <v/>
      </c>
      <c r="AE32" s="388"/>
      <c r="AF32" s="388" t="str">
        <f>IF(AND('Mapa final'!$H$54="Baja",'Mapa final'!$L$54="Mayor"),CONCATENATE("R",'Mapa final'!$A$54),"")</f>
        <v/>
      </c>
      <c r="AG32" s="389"/>
      <c r="AH32" s="378" t="str">
        <f>IF(AND('Mapa final'!$H$43="Baja",'Mapa final'!$L$43="Catastrófico"),CONCATENATE("R",'Mapa final'!$A$43),"")</f>
        <v/>
      </c>
      <c r="AI32" s="379"/>
      <c r="AJ32" s="379" t="str">
        <f>IF(AND('Mapa final'!$H$49="Baja",'Mapa final'!$L$49="Catastrófico"),CONCATENATE("R",'Mapa final'!$A$49),"")</f>
        <v/>
      </c>
      <c r="AK32" s="379"/>
      <c r="AL32" s="379" t="str">
        <f>IF(AND('Mapa final'!$H$54="Baja",'Mapa final'!$L$54="Catastrófico"),CONCATENATE("R",'Mapa final'!$A$54),"")</f>
        <v/>
      </c>
      <c r="AM32" s="380"/>
      <c r="AN32" s="79"/>
      <c r="AO32" s="439"/>
      <c r="AP32" s="440"/>
      <c r="AQ32" s="440"/>
      <c r="AR32" s="440"/>
      <c r="AS32" s="440"/>
      <c r="AT32" s="441"/>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row>
    <row r="33" spans="1:80" x14ac:dyDescent="0.25">
      <c r="A33" s="79"/>
      <c r="B33" s="407"/>
      <c r="C33" s="407"/>
      <c r="D33" s="408"/>
      <c r="E33" s="400"/>
      <c r="F33" s="401"/>
      <c r="G33" s="401"/>
      <c r="H33" s="401"/>
      <c r="I33" s="401"/>
      <c r="J33" s="360"/>
      <c r="K33" s="361"/>
      <c r="L33" s="361"/>
      <c r="M33" s="361"/>
      <c r="N33" s="361"/>
      <c r="O33" s="362"/>
      <c r="P33" s="370"/>
      <c r="Q33" s="370"/>
      <c r="R33" s="370"/>
      <c r="S33" s="370"/>
      <c r="T33" s="370"/>
      <c r="U33" s="371"/>
      <c r="V33" s="369"/>
      <c r="W33" s="370"/>
      <c r="X33" s="370"/>
      <c r="Y33" s="370"/>
      <c r="Z33" s="370"/>
      <c r="AA33" s="371"/>
      <c r="AB33" s="387"/>
      <c r="AC33" s="388"/>
      <c r="AD33" s="388"/>
      <c r="AE33" s="388"/>
      <c r="AF33" s="388"/>
      <c r="AG33" s="389"/>
      <c r="AH33" s="378"/>
      <c r="AI33" s="379"/>
      <c r="AJ33" s="379"/>
      <c r="AK33" s="379"/>
      <c r="AL33" s="379"/>
      <c r="AM33" s="380"/>
      <c r="AN33" s="79"/>
      <c r="AO33" s="439"/>
      <c r="AP33" s="440"/>
      <c r="AQ33" s="440"/>
      <c r="AR33" s="440"/>
      <c r="AS33" s="440"/>
      <c r="AT33" s="441"/>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row>
    <row r="34" spans="1:80" x14ac:dyDescent="0.25">
      <c r="A34" s="79"/>
      <c r="B34" s="407"/>
      <c r="C34" s="407"/>
      <c r="D34" s="408"/>
      <c r="E34" s="400"/>
      <c r="F34" s="401"/>
      <c r="G34" s="401"/>
      <c r="H34" s="401"/>
      <c r="I34" s="401"/>
      <c r="J34" s="360" t="e">
        <f>IF(AND('Mapa final'!#REF!="Baja",'Mapa final'!#REF!="Leve"),CONCATENATE("R",'Mapa final'!#REF!),"")</f>
        <v>#REF!</v>
      </c>
      <c r="K34" s="361"/>
      <c r="L34" s="361" t="e">
        <f>IF(AND('Mapa final'!#REF!="Baja",'Mapa final'!#REF!="Leve"),CONCATENATE("R",'Mapa final'!#REF!),"")</f>
        <v>#REF!</v>
      </c>
      <c r="M34" s="361"/>
      <c r="N34" s="361" t="e">
        <f>IF(AND('Mapa final'!#REF!="Baja",'Mapa final'!#REF!="Leve"),CONCATENATE("R",'Mapa final'!#REF!),"")</f>
        <v>#REF!</v>
      </c>
      <c r="O34" s="362"/>
      <c r="P34" s="370" t="e">
        <f>IF(AND('Mapa final'!#REF!="Baja",'Mapa final'!#REF!="Menor"),CONCATENATE("R",'Mapa final'!#REF!),"")</f>
        <v>#REF!</v>
      </c>
      <c r="Q34" s="370"/>
      <c r="R34" s="370" t="e">
        <f>IF(AND('Mapa final'!#REF!="Baja",'Mapa final'!#REF!="Menor"),CONCATENATE("R",'Mapa final'!#REF!),"")</f>
        <v>#REF!</v>
      </c>
      <c r="S34" s="370"/>
      <c r="T34" s="370" t="e">
        <f>IF(AND('Mapa final'!#REF!="Baja",'Mapa final'!#REF!="Menor"),CONCATENATE("R",'Mapa final'!#REF!),"")</f>
        <v>#REF!</v>
      </c>
      <c r="U34" s="371"/>
      <c r="V34" s="369" t="e">
        <f>IF(AND('Mapa final'!#REF!="Baja",'Mapa final'!#REF!="Moderado"),CONCATENATE("R",'Mapa final'!#REF!),"")</f>
        <v>#REF!</v>
      </c>
      <c r="W34" s="370"/>
      <c r="X34" s="370" t="e">
        <f>IF(AND('Mapa final'!#REF!="Baja",'Mapa final'!#REF!="Moderado"),CONCATENATE("R",'Mapa final'!#REF!),"")</f>
        <v>#REF!</v>
      </c>
      <c r="Y34" s="370"/>
      <c r="Z34" s="370" t="e">
        <f>IF(AND('Mapa final'!#REF!="Baja",'Mapa final'!#REF!="Moderado"),CONCATENATE("R",'Mapa final'!#REF!),"")</f>
        <v>#REF!</v>
      </c>
      <c r="AA34" s="371"/>
      <c r="AB34" s="387" t="e">
        <f>IF(AND('Mapa final'!#REF!="Baja",'Mapa final'!#REF!="Mayor"),CONCATENATE("R",'Mapa final'!#REF!),"")</f>
        <v>#REF!</v>
      </c>
      <c r="AC34" s="388"/>
      <c r="AD34" s="388" t="e">
        <f>IF(AND('Mapa final'!#REF!="Baja",'Mapa final'!#REF!="Mayor"),CONCATENATE("R",'Mapa final'!#REF!),"")</f>
        <v>#REF!</v>
      </c>
      <c r="AE34" s="388"/>
      <c r="AF34" s="388" t="e">
        <f>IF(AND('Mapa final'!#REF!="Baja",'Mapa final'!#REF!="Mayor"),CONCATENATE("R",'Mapa final'!#REF!),"")</f>
        <v>#REF!</v>
      </c>
      <c r="AG34" s="389"/>
      <c r="AH34" s="378" t="e">
        <f>IF(AND('Mapa final'!#REF!="Baja",'Mapa final'!#REF!="Catastrófico"),CONCATENATE("R",'Mapa final'!#REF!),"")</f>
        <v>#REF!</v>
      </c>
      <c r="AI34" s="379"/>
      <c r="AJ34" s="379" t="e">
        <f>IF(AND('Mapa final'!#REF!="Baja",'Mapa final'!#REF!="Catastrófico"),CONCATENATE("R",'Mapa final'!#REF!),"")</f>
        <v>#REF!</v>
      </c>
      <c r="AK34" s="379"/>
      <c r="AL34" s="379" t="e">
        <f>IF(AND('Mapa final'!#REF!="Baja",'Mapa final'!#REF!="Catastrófico"),CONCATENATE("R",'Mapa final'!#REF!),"")</f>
        <v>#REF!</v>
      </c>
      <c r="AM34" s="380"/>
      <c r="AN34" s="79"/>
      <c r="AO34" s="439"/>
      <c r="AP34" s="440"/>
      <c r="AQ34" s="440"/>
      <c r="AR34" s="440"/>
      <c r="AS34" s="440"/>
      <c r="AT34" s="441"/>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row>
    <row r="35" spans="1:80" x14ac:dyDescent="0.25">
      <c r="A35" s="79"/>
      <c r="B35" s="407"/>
      <c r="C35" s="407"/>
      <c r="D35" s="408"/>
      <c r="E35" s="400"/>
      <c r="F35" s="401"/>
      <c r="G35" s="401"/>
      <c r="H35" s="401"/>
      <c r="I35" s="401"/>
      <c r="J35" s="360"/>
      <c r="K35" s="361"/>
      <c r="L35" s="361"/>
      <c r="M35" s="361"/>
      <c r="N35" s="361"/>
      <c r="O35" s="362"/>
      <c r="P35" s="370"/>
      <c r="Q35" s="370"/>
      <c r="R35" s="370"/>
      <c r="S35" s="370"/>
      <c r="T35" s="370"/>
      <c r="U35" s="371"/>
      <c r="V35" s="369"/>
      <c r="W35" s="370"/>
      <c r="X35" s="370"/>
      <c r="Y35" s="370"/>
      <c r="Z35" s="370"/>
      <c r="AA35" s="371"/>
      <c r="AB35" s="387"/>
      <c r="AC35" s="388"/>
      <c r="AD35" s="388"/>
      <c r="AE35" s="388"/>
      <c r="AF35" s="388"/>
      <c r="AG35" s="389"/>
      <c r="AH35" s="378"/>
      <c r="AI35" s="379"/>
      <c r="AJ35" s="379"/>
      <c r="AK35" s="379"/>
      <c r="AL35" s="379"/>
      <c r="AM35" s="380"/>
      <c r="AN35" s="79"/>
      <c r="AO35" s="439"/>
      <c r="AP35" s="440"/>
      <c r="AQ35" s="440"/>
      <c r="AR35" s="440"/>
      <c r="AS35" s="440"/>
      <c r="AT35" s="441"/>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row>
    <row r="36" spans="1:80" x14ac:dyDescent="0.25">
      <c r="A36" s="79"/>
      <c r="B36" s="407"/>
      <c r="C36" s="407"/>
      <c r="D36" s="408"/>
      <c r="E36" s="400"/>
      <c r="F36" s="401"/>
      <c r="G36" s="401"/>
      <c r="H36" s="401"/>
      <c r="I36" s="401"/>
      <c r="J36" s="360" t="e">
        <f>IF(AND('Mapa final'!#REF!="Baja",'Mapa final'!#REF!="Leve"),CONCATENATE("R",'Mapa final'!#REF!),"")</f>
        <v>#REF!</v>
      </c>
      <c r="K36" s="361"/>
      <c r="L36" s="361" t="e">
        <f>IF(AND('Mapa final'!#REF!="Baja",'Mapa final'!#REF!="Leve"),CONCATENATE("R",'Mapa final'!#REF!),"")</f>
        <v>#REF!</v>
      </c>
      <c r="M36" s="361"/>
      <c r="N36" s="361" t="str">
        <f>IF(AND('Mapa final'!$H$61="Baja",'Mapa final'!$L$61="Leve"),CONCATENATE("R",'Mapa final'!$A$61),"")</f>
        <v/>
      </c>
      <c r="O36" s="362"/>
      <c r="P36" s="370" t="e">
        <f>IF(AND('Mapa final'!#REF!="Baja",'Mapa final'!#REF!="Menor"),CONCATENATE("R",'Mapa final'!#REF!),"")</f>
        <v>#REF!</v>
      </c>
      <c r="Q36" s="370"/>
      <c r="R36" s="370" t="e">
        <f>IF(AND('Mapa final'!#REF!="Baja",'Mapa final'!#REF!="Menor"),CONCATENATE("R",'Mapa final'!#REF!),"")</f>
        <v>#REF!</v>
      </c>
      <c r="S36" s="370"/>
      <c r="T36" s="370" t="str">
        <f>IF(AND('Mapa final'!$H$61="Baja",'Mapa final'!$L$61="Menor"),CONCATENATE("R",'Mapa final'!$A$61),"")</f>
        <v/>
      </c>
      <c r="U36" s="371"/>
      <c r="V36" s="369" t="e">
        <f>IF(AND('Mapa final'!#REF!="Baja",'Mapa final'!#REF!="Moderado"),CONCATENATE("R",'Mapa final'!#REF!),"")</f>
        <v>#REF!</v>
      </c>
      <c r="W36" s="370"/>
      <c r="X36" s="370" t="e">
        <f>IF(AND('Mapa final'!#REF!="Baja",'Mapa final'!#REF!="Moderado"),CONCATENATE("R",'Mapa final'!#REF!),"")</f>
        <v>#REF!</v>
      </c>
      <c r="Y36" s="370"/>
      <c r="Z36" s="370" t="str">
        <f>IF(AND('Mapa final'!$H$61="Baja",'Mapa final'!$L$61="Moderado"),CONCATENATE("R",'Mapa final'!$A$61),"")</f>
        <v/>
      </c>
      <c r="AA36" s="371"/>
      <c r="AB36" s="387" t="e">
        <f>IF(AND('Mapa final'!#REF!="Baja",'Mapa final'!#REF!="Mayor"),CONCATENATE("R",'Mapa final'!#REF!),"")</f>
        <v>#REF!</v>
      </c>
      <c r="AC36" s="388"/>
      <c r="AD36" s="388" t="e">
        <f>IF(AND('Mapa final'!#REF!="Baja",'Mapa final'!#REF!="Mayor"),CONCATENATE("R",'Mapa final'!#REF!),"")</f>
        <v>#REF!</v>
      </c>
      <c r="AE36" s="388"/>
      <c r="AF36" s="388" t="str">
        <f>IF(AND('Mapa final'!$H$61="Baja",'Mapa final'!$L$61="Mayor"),CONCATENATE("R",'Mapa final'!$A$61),"")</f>
        <v/>
      </c>
      <c r="AG36" s="389"/>
      <c r="AH36" s="378" t="e">
        <f>IF(AND('Mapa final'!#REF!="Baja",'Mapa final'!#REF!="Catastrófico"),CONCATENATE("R",'Mapa final'!#REF!),"")</f>
        <v>#REF!</v>
      </c>
      <c r="AI36" s="379"/>
      <c r="AJ36" s="379" t="e">
        <f>IF(AND('Mapa final'!#REF!="Baja",'Mapa final'!#REF!="Catastrófico"),CONCATENATE("R",'Mapa final'!#REF!),"")</f>
        <v>#REF!</v>
      </c>
      <c r="AK36" s="379"/>
      <c r="AL36" s="379" t="str">
        <f>IF(AND('Mapa final'!$H$61="Baja",'Mapa final'!$L$61="Catastrófico"),CONCATENATE("R",'Mapa final'!$A$61),"")</f>
        <v/>
      </c>
      <c r="AM36" s="380"/>
      <c r="AN36" s="79"/>
      <c r="AO36" s="439"/>
      <c r="AP36" s="440"/>
      <c r="AQ36" s="440"/>
      <c r="AR36" s="440"/>
      <c r="AS36" s="440"/>
      <c r="AT36" s="441"/>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row>
    <row r="37" spans="1:80" ht="15.75" thickBot="1" x14ac:dyDescent="0.3">
      <c r="A37" s="79"/>
      <c r="B37" s="407"/>
      <c r="C37" s="407"/>
      <c r="D37" s="408"/>
      <c r="E37" s="403"/>
      <c r="F37" s="404"/>
      <c r="G37" s="404"/>
      <c r="H37" s="404"/>
      <c r="I37" s="404"/>
      <c r="J37" s="363"/>
      <c r="K37" s="364"/>
      <c r="L37" s="364"/>
      <c r="M37" s="364"/>
      <c r="N37" s="364"/>
      <c r="O37" s="365"/>
      <c r="P37" s="373"/>
      <c r="Q37" s="373"/>
      <c r="R37" s="373"/>
      <c r="S37" s="373"/>
      <c r="T37" s="373"/>
      <c r="U37" s="374"/>
      <c r="V37" s="372"/>
      <c r="W37" s="373"/>
      <c r="X37" s="373"/>
      <c r="Y37" s="373"/>
      <c r="Z37" s="373"/>
      <c r="AA37" s="374"/>
      <c r="AB37" s="390"/>
      <c r="AC37" s="391"/>
      <c r="AD37" s="391"/>
      <c r="AE37" s="391"/>
      <c r="AF37" s="391"/>
      <c r="AG37" s="392"/>
      <c r="AH37" s="381"/>
      <c r="AI37" s="382"/>
      <c r="AJ37" s="382"/>
      <c r="AK37" s="382"/>
      <c r="AL37" s="382"/>
      <c r="AM37" s="383"/>
      <c r="AN37" s="79"/>
      <c r="AO37" s="442"/>
      <c r="AP37" s="443"/>
      <c r="AQ37" s="443"/>
      <c r="AR37" s="443"/>
      <c r="AS37" s="443"/>
      <c r="AT37" s="444"/>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row>
    <row r="38" spans="1:80" x14ac:dyDescent="0.25">
      <c r="A38" s="79"/>
      <c r="B38" s="407"/>
      <c r="C38" s="407"/>
      <c r="D38" s="408"/>
      <c r="E38" s="397" t="s">
        <v>113</v>
      </c>
      <c r="F38" s="398"/>
      <c r="G38" s="398"/>
      <c r="H38" s="398"/>
      <c r="I38" s="399"/>
      <c r="J38" s="366" t="e">
        <f>IF(AND('Mapa final'!#REF!="Muy Baja",'Mapa final'!#REF!="Leve"),CONCATENATE("R",'Mapa final'!#REF!),"")</f>
        <v>#REF!</v>
      </c>
      <c r="K38" s="367"/>
      <c r="L38" s="367" t="str">
        <f>IF(AND('Mapa final'!$H$19="Muy Baja",'Mapa final'!$L$19="Leve"),CONCATENATE("R",'Mapa final'!$A$19),"")</f>
        <v/>
      </c>
      <c r="M38" s="367"/>
      <c r="N38" s="367" t="str">
        <f>IF(AND('Mapa final'!$H$29="Muy Baja",'Mapa final'!$L$29="Leve"),CONCATENATE("R",'Mapa final'!$A$29),"")</f>
        <v/>
      </c>
      <c r="O38" s="368"/>
      <c r="P38" s="366" t="e">
        <f>IF(AND('Mapa final'!#REF!="Muy Baja",'Mapa final'!#REF!="Menor"),CONCATENATE("R",'Mapa final'!#REF!),"")</f>
        <v>#REF!</v>
      </c>
      <c r="Q38" s="367"/>
      <c r="R38" s="367" t="str">
        <f>IF(AND('Mapa final'!$H$19="Muy Baja",'Mapa final'!$L$19="Menor"),CONCATENATE("R",'Mapa final'!$A$19),"")</f>
        <v/>
      </c>
      <c r="S38" s="367"/>
      <c r="T38" s="367" t="str">
        <f>IF(AND('Mapa final'!$H$29="Muy Baja",'Mapa final'!$L$29="Menor"),CONCATENATE("R",'Mapa final'!$A$29),"")</f>
        <v/>
      </c>
      <c r="U38" s="368"/>
      <c r="V38" s="375" t="e">
        <f>IF(AND('Mapa final'!#REF!="Muy Baja",'Mapa final'!#REF!="Moderado"),CONCATENATE("R",'Mapa final'!#REF!),"")</f>
        <v>#REF!</v>
      </c>
      <c r="W38" s="376"/>
      <c r="X38" s="376" t="str">
        <f>IF(AND('Mapa final'!$H$19="Muy Baja",'Mapa final'!$L$19="Moderado"),CONCATENATE("R",'Mapa final'!$A$19),"")</f>
        <v/>
      </c>
      <c r="Y38" s="376"/>
      <c r="Z38" s="376" t="str">
        <f>IF(AND('Mapa final'!$H$29="Muy Baja",'Mapa final'!$L$29="Moderado"),CONCATENATE("R",'Mapa final'!$A$29),"")</f>
        <v/>
      </c>
      <c r="AA38" s="377"/>
      <c r="AB38" s="393" t="e">
        <f>IF(AND('Mapa final'!#REF!="Muy Baja",'Mapa final'!#REF!="Mayor"),CONCATENATE("R",'Mapa final'!#REF!),"")</f>
        <v>#REF!</v>
      </c>
      <c r="AC38" s="394"/>
      <c r="AD38" s="394" t="str">
        <f>IF(AND('Mapa final'!$H$19="Muy Baja",'Mapa final'!$L$19="Mayor"),CONCATENATE("R",'Mapa final'!$A$19),"")</f>
        <v/>
      </c>
      <c r="AE38" s="394"/>
      <c r="AF38" s="394" t="str">
        <f>IF(AND('Mapa final'!$H$29="Muy Baja",'Mapa final'!$L$29="Mayor"),CONCATENATE("R",'Mapa final'!$A$29),"")</f>
        <v/>
      </c>
      <c r="AG38" s="395"/>
      <c r="AH38" s="384" t="e">
        <f>IF(AND('Mapa final'!#REF!="Muy Baja",'Mapa final'!#REF!="Catastrófico"),CONCATENATE("R",'Mapa final'!#REF!),"")</f>
        <v>#REF!</v>
      </c>
      <c r="AI38" s="385"/>
      <c r="AJ38" s="385" t="str">
        <f>IF(AND('Mapa final'!$H$19="Muy Baja",'Mapa final'!$L$19="Catastrófico"),CONCATENATE("R",'Mapa final'!$A$19),"")</f>
        <v/>
      </c>
      <c r="AK38" s="385"/>
      <c r="AL38" s="385" t="str">
        <f>IF(AND('Mapa final'!$H$29="Muy Baja",'Mapa final'!$L$29="Catastrófico"),CONCATENATE("R",'Mapa final'!$A$29),"")</f>
        <v/>
      </c>
      <c r="AM38" s="386"/>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row>
    <row r="39" spans="1:80" x14ac:dyDescent="0.25">
      <c r="A39" s="79"/>
      <c r="B39" s="407"/>
      <c r="C39" s="407"/>
      <c r="D39" s="408"/>
      <c r="E39" s="400"/>
      <c r="F39" s="401"/>
      <c r="G39" s="401"/>
      <c r="H39" s="401"/>
      <c r="I39" s="402"/>
      <c r="J39" s="360"/>
      <c r="K39" s="361"/>
      <c r="L39" s="361"/>
      <c r="M39" s="361"/>
      <c r="N39" s="361"/>
      <c r="O39" s="362"/>
      <c r="P39" s="360"/>
      <c r="Q39" s="361"/>
      <c r="R39" s="361"/>
      <c r="S39" s="361"/>
      <c r="T39" s="361"/>
      <c r="U39" s="362"/>
      <c r="V39" s="369"/>
      <c r="W39" s="370"/>
      <c r="X39" s="370"/>
      <c r="Y39" s="370"/>
      <c r="Z39" s="370"/>
      <c r="AA39" s="371"/>
      <c r="AB39" s="387"/>
      <c r="AC39" s="388"/>
      <c r="AD39" s="388"/>
      <c r="AE39" s="388"/>
      <c r="AF39" s="388"/>
      <c r="AG39" s="389"/>
      <c r="AH39" s="378"/>
      <c r="AI39" s="379"/>
      <c r="AJ39" s="379"/>
      <c r="AK39" s="379"/>
      <c r="AL39" s="379"/>
      <c r="AM39" s="380"/>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9"/>
      <c r="BY39" s="79"/>
      <c r="BZ39" s="79"/>
      <c r="CA39" s="79"/>
      <c r="CB39" s="79"/>
    </row>
    <row r="40" spans="1:80" x14ac:dyDescent="0.25">
      <c r="A40" s="79"/>
      <c r="B40" s="407"/>
      <c r="C40" s="407"/>
      <c r="D40" s="408"/>
      <c r="E40" s="400"/>
      <c r="F40" s="401"/>
      <c r="G40" s="401"/>
      <c r="H40" s="401"/>
      <c r="I40" s="402"/>
      <c r="J40" s="360" t="str">
        <f>IF(AND('Mapa final'!$H$43="Muy Baja",'Mapa final'!$L$43="Leve"),CONCATENATE("R",'Mapa final'!$A$43),"")</f>
        <v/>
      </c>
      <c r="K40" s="361"/>
      <c r="L40" s="361" t="str">
        <f>IF(AND('Mapa final'!$H$49="Muy Baja",'Mapa final'!$L$49="Leve"),CONCATENATE("R",'Mapa final'!$A$49),"")</f>
        <v/>
      </c>
      <c r="M40" s="361"/>
      <c r="N40" s="361" t="str">
        <f>IF(AND('Mapa final'!$H$54="Muy Baja",'Mapa final'!$L$54="Leve"),CONCATENATE("R",'Mapa final'!$A$54),"")</f>
        <v/>
      </c>
      <c r="O40" s="362"/>
      <c r="P40" s="360" t="str">
        <f>IF(AND('Mapa final'!$H$43="Muy Baja",'Mapa final'!$L$43="Menor"),CONCATENATE("R",'Mapa final'!$A$43),"")</f>
        <v/>
      </c>
      <c r="Q40" s="361"/>
      <c r="R40" s="361" t="str">
        <f>IF(AND('Mapa final'!$H$49="Muy Baja",'Mapa final'!$L$49="Menor"),CONCATENATE("R",'Mapa final'!$A$49),"")</f>
        <v/>
      </c>
      <c r="S40" s="361"/>
      <c r="T40" s="361" t="str">
        <f>IF(AND('Mapa final'!$H$54="Muy Baja",'Mapa final'!$L$54="Menor"),CONCATENATE("R",'Mapa final'!$A$54),"")</f>
        <v/>
      </c>
      <c r="U40" s="362"/>
      <c r="V40" s="369" t="str">
        <f>IF(AND('Mapa final'!$H$43="Muy Baja",'Mapa final'!$L$43="Moderado"),CONCATENATE("R",'Mapa final'!$A$43),"")</f>
        <v/>
      </c>
      <c r="W40" s="370"/>
      <c r="X40" s="370" t="str">
        <f>IF(AND('Mapa final'!$H$49="Muy Baja",'Mapa final'!$L$49="Moderado"),CONCATENATE("R",'Mapa final'!$A$49),"")</f>
        <v/>
      </c>
      <c r="Y40" s="370"/>
      <c r="Z40" s="370" t="str">
        <f>IF(AND('Mapa final'!$H$54="Muy Baja",'Mapa final'!$L$54="Moderado"),CONCATENATE("R",'Mapa final'!$A$54),"")</f>
        <v/>
      </c>
      <c r="AA40" s="371"/>
      <c r="AB40" s="387" t="str">
        <f>IF(AND('Mapa final'!$H$43="Muy Baja",'Mapa final'!$L$43="Mayor"),CONCATENATE("R",'Mapa final'!$A$43),"")</f>
        <v/>
      </c>
      <c r="AC40" s="388"/>
      <c r="AD40" s="388" t="str">
        <f>IF(AND('Mapa final'!$H$49="Muy Baja",'Mapa final'!$L$49="Mayor"),CONCATENATE("R",'Mapa final'!$A$49),"")</f>
        <v/>
      </c>
      <c r="AE40" s="388"/>
      <c r="AF40" s="388" t="str">
        <f>IF(AND('Mapa final'!$H$54="Muy Baja",'Mapa final'!$L$54="Mayor"),CONCATENATE("R",'Mapa final'!$A$54),"")</f>
        <v/>
      </c>
      <c r="AG40" s="389"/>
      <c r="AH40" s="378" t="str">
        <f>IF(AND('Mapa final'!$H$43="Muy Baja",'Mapa final'!$L$43="Catastrófico"),CONCATENATE("R",'Mapa final'!$A$43),"")</f>
        <v/>
      </c>
      <c r="AI40" s="379"/>
      <c r="AJ40" s="379" t="str">
        <f>IF(AND('Mapa final'!$H$49="Muy Baja",'Mapa final'!$L$49="Catastrófico"),CONCATENATE("R",'Mapa final'!$A$49),"")</f>
        <v/>
      </c>
      <c r="AK40" s="379"/>
      <c r="AL40" s="379" t="str">
        <f>IF(AND('Mapa final'!$H$54="Muy Baja",'Mapa final'!$L$54="Catastrófico"),CONCATENATE("R",'Mapa final'!$A$54),"")</f>
        <v/>
      </c>
      <c r="AM40" s="380"/>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row>
    <row r="41" spans="1:80" x14ac:dyDescent="0.25">
      <c r="A41" s="79"/>
      <c r="B41" s="407"/>
      <c r="C41" s="407"/>
      <c r="D41" s="408"/>
      <c r="E41" s="400"/>
      <c r="F41" s="401"/>
      <c r="G41" s="401"/>
      <c r="H41" s="401"/>
      <c r="I41" s="402"/>
      <c r="J41" s="360"/>
      <c r="K41" s="361"/>
      <c r="L41" s="361"/>
      <c r="M41" s="361"/>
      <c r="N41" s="361"/>
      <c r="O41" s="362"/>
      <c r="P41" s="360"/>
      <c r="Q41" s="361"/>
      <c r="R41" s="361"/>
      <c r="S41" s="361"/>
      <c r="T41" s="361"/>
      <c r="U41" s="362"/>
      <c r="V41" s="369"/>
      <c r="W41" s="370"/>
      <c r="X41" s="370"/>
      <c r="Y41" s="370"/>
      <c r="Z41" s="370"/>
      <c r="AA41" s="371"/>
      <c r="AB41" s="387"/>
      <c r="AC41" s="388"/>
      <c r="AD41" s="388"/>
      <c r="AE41" s="388"/>
      <c r="AF41" s="388"/>
      <c r="AG41" s="389"/>
      <c r="AH41" s="378"/>
      <c r="AI41" s="379"/>
      <c r="AJ41" s="379"/>
      <c r="AK41" s="379"/>
      <c r="AL41" s="379"/>
      <c r="AM41" s="380"/>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row>
    <row r="42" spans="1:80" x14ac:dyDescent="0.25">
      <c r="A42" s="79"/>
      <c r="B42" s="407"/>
      <c r="C42" s="407"/>
      <c r="D42" s="408"/>
      <c r="E42" s="400"/>
      <c r="F42" s="401"/>
      <c r="G42" s="401"/>
      <c r="H42" s="401"/>
      <c r="I42" s="402"/>
      <c r="J42" s="360" t="e">
        <f>IF(AND('Mapa final'!#REF!="Muy Baja",'Mapa final'!#REF!="Leve"),CONCATENATE("R",'Mapa final'!#REF!),"")</f>
        <v>#REF!</v>
      </c>
      <c r="K42" s="361"/>
      <c r="L42" s="361" t="e">
        <f>IF(AND('Mapa final'!#REF!="Muy Baja",'Mapa final'!#REF!="Leve"),CONCATENATE("R",'Mapa final'!#REF!),"")</f>
        <v>#REF!</v>
      </c>
      <c r="M42" s="361"/>
      <c r="N42" s="361" t="e">
        <f>IF(AND('Mapa final'!#REF!="Muy Baja",'Mapa final'!#REF!="Leve"),CONCATENATE("R",'Mapa final'!#REF!),"")</f>
        <v>#REF!</v>
      </c>
      <c r="O42" s="362"/>
      <c r="P42" s="360" t="e">
        <f>IF(AND('Mapa final'!#REF!="Muy Baja",'Mapa final'!#REF!="Menor"),CONCATENATE("R",'Mapa final'!#REF!),"")</f>
        <v>#REF!</v>
      </c>
      <c r="Q42" s="361"/>
      <c r="R42" s="361" t="e">
        <f>IF(AND('Mapa final'!#REF!="Muy Baja",'Mapa final'!#REF!="Menor"),CONCATENATE("R",'Mapa final'!#REF!),"")</f>
        <v>#REF!</v>
      </c>
      <c r="S42" s="361"/>
      <c r="T42" s="361" t="e">
        <f>IF(AND('Mapa final'!#REF!="Muy Baja",'Mapa final'!#REF!="Menor"),CONCATENATE("R",'Mapa final'!#REF!),"")</f>
        <v>#REF!</v>
      </c>
      <c r="U42" s="362"/>
      <c r="V42" s="369" t="e">
        <f>IF(AND('Mapa final'!#REF!="Muy Baja",'Mapa final'!#REF!="Moderado"),CONCATENATE("R",'Mapa final'!#REF!),"")</f>
        <v>#REF!</v>
      </c>
      <c r="W42" s="370"/>
      <c r="X42" s="370" t="e">
        <f>IF(AND('Mapa final'!#REF!="Muy Baja",'Mapa final'!#REF!="Moderado"),CONCATENATE("R",'Mapa final'!#REF!),"")</f>
        <v>#REF!</v>
      </c>
      <c r="Y42" s="370"/>
      <c r="Z42" s="370" t="e">
        <f>IF(AND('Mapa final'!#REF!="Muy Baja",'Mapa final'!#REF!="Moderado"),CONCATENATE("R",'Mapa final'!#REF!),"")</f>
        <v>#REF!</v>
      </c>
      <c r="AA42" s="371"/>
      <c r="AB42" s="387" t="e">
        <f>IF(AND('Mapa final'!#REF!="Muy Baja",'Mapa final'!#REF!="Mayor"),CONCATENATE("R",'Mapa final'!#REF!),"")</f>
        <v>#REF!</v>
      </c>
      <c r="AC42" s="388"/>
      <c r="AD42" s="388" t="e">
        <f>IF(AND('Mapa final'!#REF!="Muy Baja",'Mapa final'!#REF!="Mayor"),CONCATENATE("R",'Mapa final'!#REF!),"")</f>
        <v>#REF!</v>
      </c>
      <c r="AE42" s="388"/>
      <c r="AF42" s="388" t="e">
        <f>IF(AND('Mapa final'!#REF!="Muy Baja",'Mapa final'!#REF!="Mayor"),CONCATENATE("R",'Mapa final'!#REF!),"")</f>
        <v>#REF!</v>
      </c>
      <c r="AG42" s="389"/>
      <c r="AH42" s="378" t="e">
        <f>IF(AND('Mapa final'!#REF!="Muy Baja",'Mapa final'!#REF!="Catastrófico"),CONCATENATE("R",'Mapa final'!#REF!),"")</f>
        <v>#REF!</v>
      </c>
      <c r="AI42" s="379"/>
      <c r="AJ42" s="379" t="e">
        <f>IF(AND('Mapa final'!#REF!="Muy Baja",'Mapa final'!#REF!="Catastrófico"),CONCATENATE("R",'Mapa final'!#REF!),"")</f>
        <v>#REF!</v>
      </c>
      <c r="AK42" s="379"/>
      <c r="AL42" s="379" t="e">
        <f>IF(AND('Mapa final'!#REF!="Muy Baja",'Mapa final'!#REF!="Catastrófico"),CONCATENATE("R",'Mapa final'!#REF!),"")</f>
        <v>#REF!</v>
      </c>
      <c r="AM42" s="380"/>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row>
    <row r="43" spans="1:80" x14ac:dyDescent="0.25">
      <c r="A43" s="79"/>
      <c r="B43" s="407"/>
      <c r="C43" s="407"/>
      <c r="D43" s="408"/>
      <c r="E43" s="400"/>
      <c r="F43" s="401"/>
      <c r="G43" s="401"/>
      <c r="H43" s="401"/>
      <c r="I43" s="402"/>
      <c r="J43" s="360"/>
      <c r="K43" s="361"/>
      <c r="L43" s="361"/>
      <c r="M43" s="361"/>
      <c r="N43" s="361"/>
      <c r="O43" s="362"/>
      <c r="P43" s="360"/>
      <c r="Q43" s="361"/>
      <c r="R43" s="361"/>
      <c r="S43" s="361"/>
      <c r="T43" s="361"/>
      <c r="U43" s="362"/>
      <c r="V43" s="369"/>
      <c r="W43" s="370"/>
      <c r="X43" s="370"/>
      <c r="Y43" s="370"/>
      <c r="Z43" s="370"/>
      <c r="AA43" s="371"/>
      <c r="AB43" s="387"/>
      <c r="AC43" s="388"/>
      <c r="AD43" s="388"/>
      <c r="AE43" s="388"/>
      <c r="AF43" s="388"/>
      <c r="AG43" s="389"/>
      <c r="AH43" s="378"/>
      <c r="AI43" s="379"/>
      <c r="AJ43" s="379"/>
      <c r="AK43" s="379"/>
      <c r="AL43" s="379"/>
      <c r="AM43" s="380"/>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c r="BY43" s="79"/>
      <c r="BZ43" s="79"/>
      <c r="CA43" s="79"/>
      <c r="CB43" s="79"/>
    </row>
    <row r="44" spans="1:80" x14ac:dyDescent="0.25">
      <c r="A44" s="79"/>
      <c r="B44" s="407"/>
      <c r="C44" s="407"/>
      <c r="D44" s="408"/>
      <c r="E44" s="400"/>
      <c r="F44" s="401"/>
      <c r="G44" s="401"/>
      <c r="H44" s="401"/>
      <c r="I44" s="402"/>
      <c r="J44" s="360" t="e">
        <f>IF(AND('Mapa final'!#REF!="Muy Baja",'Mapa final'!#REF!="Leve"),CONCATENATE("R",'Mapa final'!#REF!),"")</f>
        <v>#REF!</v>
      </c>
      <c r="K44" s="361"/>
      <c r="L44" s="361" t="e">
        <f>IF(AND('Mapa final'!#REF!="Muy Baja",'Mapa final'!#REF!="Leve"),CONCATENATE("R",'Mapa final'!#REF!),"")</f>
        <v>#REF!</v>
      </c>
      <c r="M44" s="361"/>
      <c r="N44" s="361" t="str">
        <f>IF(AND('Mapa final'!$H$61="Muy Baja",'Mapa final'!$L$61="Leve"),CONCATENATE("R",'Mapa final'!$A$61),"")</f>
        <v/>
      </c>
      <c r="O44" s="362"/>
      <c r="P44" s="360" t="e">
        <f>IF(AND('Mapa final'!#REF!="Muy Baja",'Mapa final'!#REF!="Menor"),CONCATENATE("R",'Mapa final'!#REF!),"")</f>
        <v>#REF!</v>
      </c>
      <c r="Q44" s="361"/>
      <c r="R44" s="361" t="e">
        <f>IF(AND('Mapa final'!#REF!="Muy Baja",'Mapa final'!#REF!="Menor"),CONCATENATE("R",'Mapa final'!#REF!),"")</f>
        <v>#REF!</v>
      </c>
      <c r="S44" s="361"/>
      <c r="T44" s="361" t="str">
        <f>IF(AND('Mapa final'!$H$61="Muy Baja",'Mapa final'!$L$61="Menor"),CONCATENATE("R",'Mapa final'!$A$61),"")</f>
        <v/>
      </c>
      <c r="U44" s="362"/>
      <c r="V44" s="369" t="e">
        <f>IF(AND('Mapa final'!#REF!="Muy Baja",'Mapa final'!#REF!="Moderado"),CONCATENATE("R",'Mapa final'!#REF!),"")</f>
        <v>#REF!</v>
      </c>
      <c r="W44" s="370"/>
      <c r="X44" s="370" t="e">
        <f>IF(AND('Mapa final'!#REF!="Muy Baja",'Mapa final'!#REF!="Moderado"),CONCATENATE("R",'Mapa final'!#REF!),"")</f>
        <v>#REF!</v>
      </c>
      <c r="Y44" s="370"/>
      <c r="Z44" s="370" t="str">
        <f>IF(AND('Mapa final'!$H$61="Muy Baja",'Mapa final'!$L$61="Moderado"),CONCATENATE("R",'Mapa final'!$A$61),"")</f>
        <v/>
      </c>
      <c r="AA44" s="371"/>
      <c r="AB44" s="387" t="e">
        <f>IF(AND('Mapa final'!#REF!="Muy Baja",'Mapa final'!#REF!="Mayor"),CONCATENATE("R",'Mapa final'!#REF!),"")</f>
        <v>#REF!</v>
      </c>
      <c r="AC44" s="388"/>
      <c r="AD44" s="388" t="e">
        <f>IF(AND('Mapa final'!#REF!="Muy Baja",'Mapa final'!#REF!="Mayor"),CONCATENATE("R",'Mapa final'!#REF!),"")</f>
        <v>#REF!</v>
      </c>
      <c r="AE44" s="388"/>
      <c r="AF44" s="388" t="str">
        <f>IF(AND('Mapa final'!$H$61="Muy Baja",'Mapa final'!$L$61="Mayor"),CONCATENATE("R",'Mapa final'!$A$61),"")</f>
        <v/>
      </c>
      <c r="AG44" s="389"/>
      <c r="AH44" s="378" t="e">
        <f>IF(AND('Mapa final'!#REF!="Muy Baja",'Mapa final'!#REF!="Catastrófico"),CONCATENATE("R",'Mapa final'!#REF!),"")</f>
        <v>#REF!</v>
      </c>
      <c r="AI44" s="379"/>
      <c r="AJ44" s="379" t="e">
        <f>IF(AND('Mapa final'!#REF!="Muy Baja",'Mapa final'!#REF!="Catastrófico"),CONCATENATE("R",'Mapa final'!#REF!),"")</f>
        <v>#REF!</v>
      </c>
      <c r="AK44" s="379"/>
      <c r="AL44" s="379" t="str">
        <f>IF(AND('Mapa final'!$H$61="Muy Baja",'Mapa final'!$L$61="Catastrófico"),CONCATENATE("R",'Mapa final'!$A$61),"")</f>
        <v/>
      </c>
      <c r="AM44" s="380"/>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c r="BY44" s="79"/>
      <c r="BZ44" s="79"/>
      <c r="CA44" s="79"/>
      <c r="CB44" s="79"/>
    </row>
    <row r="45" spans="1:80" ht="15.75" thickBot="1" x14ac:dyDescent="0.3">
      <c r="A45" s="79"/>
      <c r="B45" s="407"/>
      <c r="C45" s="407"/>
      <c r="D45" s="408"/>
      <c r="E45" s="403"/>
      <c r="F45" s="404"/>
      <c r="G45" s="404"/>
      <c r="H45" s="404"/>
      <c r="I45" s="405"/>
      <c r="J45" s="363"/>
      <c r="K45" s="364"/>
      <c r="L45" s="364"/>
      <c r="M45" s="364"/>
      <c r="N45" s="364"/>
      <c r="O45" s="365"/>
      <c r="P45" s="363"/>
      <c r="Q45" s="364"/>
      <c r="R45" s="364"/>
      <c r="S45" s="364"/>
      <c r="T45" s="364"/>
      <c r="U45" s="365"/>
      <c r="V45" s="372"/>
      <c r="W45" s="373"/>
      <c r="X45" s="373"/>
      <c r="Y45" s="373"/>
      <c r="Z45" s="373"/>
      <c r="AA45" s="374"/>
      <c r="AB45" s="390"/>
      <c r="AC45" s="391"/>
      <c r="AD45" s="391"/>
      <c r="AE45" s="391"/>
      <c r="AF45" s="391"/>
      <c r="AG45" s="392"/>
      <c r="AH45" s="381"/>
      <c r="AI45" s="382"/>
      <c r="AJ45" s="382"/>
      <c r="AK45" s="382"/>
      <c r="AL45" s="382"/>
      <c r="AM45" s="383"/>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row>
    <row r="46" spans="1:80" x14ac:dyDescent="0.25">
      <c r="A46" s="79"/>
      <c r="B46" s="79"/>
      <c r="C46" s="79"/>
      <c r="D46" s="79"/>
      <c r="E46" s="79"/>
      <c r="F46" s="79"/>
      <c r="G46" s="79"/>
      <c r="H46" s="79"/>
      <c r="I46" s="79"/>
      <c r="J46" s="397" t="s">
        <v>112</v>
      </c>
      <c r="K46" s="398"/>
      <c r="L46" s="398"/>
      <c r="M46" s="398"/>
      <c r="N46" s="398"/>
      <c r="O46" s="399"/>
      <c r="P46" s="397" t="s">
        <v>111</v>
      </c>
      <c r="Q46" s="398"/>
      <c r="R46" s="398"/>
      <c r="S46" s="398"/>
      <c r="T46" s="398"/>
      <c r="U46" s="399"/>
      <c r="V46" s="397" t="s">
        <v>110</v>
      </c>
      <c r="W46" s="398"/>
      <c r="X46" s="398"/>
      <c r="Y46" s="398"/>
      <c r="Z46" s="398"/>
      <c r="AA46" s="399"/>
      <c r="AB46" s="397" t="s">
        <v>109</v>
      </c>
      <c r="AC46" s="406"/>
      <c r="AD46" s="398"/>
      <c r="AE46" s="398"/>
      <c r="AF46" s="398"/>
      <c r="AG46" s="399"/>
      <c r="AH46" s="397" t="s">
        <v>108</v>
      </c>
      <c r="AI46" s="398"/>
      <c r="AJ46" s="398"/>
      <c r="AK46" s="398"/>
      <c r="AL46" s="398"/>
      <c r="AM46" s="39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row>
    <row r="47" spans="1:80" x14ac:dyDescent="0.25">
      <c r="A47" s="79"/>
      <c r="B47" s="79"/>
      <c r="C47" s="79"/>
      <c r="D47" s="79"/>
      <c r="E47" s="79"/>
      <c r="F47" s="79"/>
      <c r="G47" s="79"/>
      <c r="H47" s="79"/>
      <c r="I47" s="79"/>
      <c r="J47" s="400"/>
      <c r="K47" s="401"/>
      <c r="L47" s="401"/>
      <c r="M47" s="401"/>
      <c r="N47" s="401"/>
      <c r="O47" s="402"/>
      <c r="P47" s="400"/>
      <c r="Q47" s="401"/>
      <c r="R47" s="401"/>
      <c r="S47" s="401"/>
      <c r="T47" s="401"/>
      <c r="U47" s="402"/>
      <c r="V47" s="400"/>
      <c r="W47" s="401"/>
      <c r="X47" s="401"/>
      <c r="Y47" s="401"/>
      <c r="Z47" s="401"/>
      <c r="AA47" s="402"/>
      <c r="AB47" s="400"/>
      <c r="AC47" s="401"/>
      <c r="AD47" s="401"/>
      <c r="AE47" s="401"/>
      <c r="AF47" s="401"/>
      <c r="AG47" s="402"/>
      <c r="AH47" s="400"/>
      <c r="AI47" s="401"/>
      <c r="AJ47" s="401"/>
      <c r="AK47" s="401"/>
      <c r="AL47" s="401"/>
      <c r="AM47" s="402"/>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row>
    <row r="48" spans="1:80" x14ac:dyDescent="0.25">
      <c r="A48" s="79"/>
      <c r="B48" s="79"/>
      <c r="C48" s="79"/>
      <c r="D48" s="79"/>
      <c r="E48" s="79"/>
      <c r="F48" s="79"/>
      <c r="G48" s="79"/>
      <c r="H48" s="79"/>
      <c r="I48" s="79"/>
      <c r="J48" s="400"/>
      <c r="K48" s="401"/>
      <c r="L48" s="401"/>
      <c r="M48" s="401"/>
      <c r="N48" s="401"/>
      <c r="O48" s="402"/>
      <c r="P48" s="400"/>
      <c r="Q48" s="401"/>
      <c r="R48" s="401"/>
      <c r="S48" s="401"/>
      <c r="T48" s="401"/>
      <c r="U48" s="402"/>
      <c r="V48" s="400"/>
      <c r="W48" s="401"/>
      <c r="X48" s="401"/>
      <c r="Y48" s="401"/>
      <c r="Z48" s="401"/>
      <c r="AA48" s="402"/>
      <c r="AB48" s="400"/>
      <c r="AC48" s="401"/>
      <c r="AD48" s="401"/>
      <c r="AE48" s="401"/>
      <c r="AF48" s="401"/>
      <c r="AG48" s="402"/>
      <c r="AH48" s="400"/>
      <c r="AI48" s="401"/>
      <c r="AJ48" s="401"/>
      <c r="AK48" s="401"/>
      <c r="AL48" s="401"/>
      <c r="AM48" s="402"/>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row>
    <row r="49" spans="1:80" x14ac:dyDescent="0.25">
      <c r="A49" s="79"/>
      <c r="B49" s="79"/>
      <c r="C49" s="79"/>
      <c r="D49" s="79"/>
      <c r="E49" s="79"/>
      <c r="F49" s="79"/>
      <c r="G49" s="79"/>
      <c r="H49" s="79"/>
      <c r="I49" s="79"/>
      <c r="J49" s="400"/>
      <c r="K49" s="401"/>
      <c r="L49" s="401"/>
      <c r="M49" s="401"/>
      <c r="N49" s="401"/>
      <c r="O49" s="402"/>
      <c r="P49" s="400"/>
      <c r="Q49" s="401"/>
      <c r="R49" s="401"/>
      <c r="S49" s="401"/>
      <c r="T49" s="401"/>
      <c r="U49" s="402"/>
      <c r="V49" s="400"/>
      <c r="W49" s="401"/>
      <c r="X49" s="401"/>
      <c r="Y49" s="401"/>
      <c r="Z49" s="401"/>
      <c r="AA49" s="402"/>
      <c r="AB49" s="400"/>
      <c r="AC49" s="401"/>
      <c r="AD49" s="401"/>
      <c r="AE49" s="401"/>
      <c r="AF49" s="401"/>
      <c r="AG49" s="402"/>
      <c r="AH49" s="400"/>
      <c r="AI49" s="401"/>
      <c r="AJ49" s="401"/>
      <c r="AK49" s="401"/>
      <c r="AL49" s="401"/>
      <c r="AM49" s="402"/>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row>
    <row r="50" spans="1:80" x14ac:dyDescent="0.25">
      <c r="A50" s="79"/>
      <c r="B50" s="79"/>
      <c r="C50" s="79"/>
      <c r="D50" s="79"/>
      <c r="E50" s="79"/>
      <c r="F50" s="79"/>
      <c r="G50" s="79"/>
      <c r="H50" s="79"/>
      <c r="I50" s="79"/>
      <c r="J50" s="400"/>
      <c r="K50" s="401"/>
      <c r="L50" s="401"/>
      <c r="M50" s="401"/>
      <c r="N50" s="401"/>
      <c r="O50" s="402"/>
      <c r="P50" s="400"/>
      <c r="Q50" s="401"/>
      <c r="R50" s="401"/>
      <c r="S50" s="401"/>
      <c r="T50" s="401"/>
      <c r="U50" s="402"/>
      <c r="V50" s="400"/>
      <c r="W50" s="401"/>
      <c r="X50" s="401"/>
      <c r="Y50" s="401"/>
      <c r="Z50" s="401"/>
      <c r="AA50" s="402"/>
      <c r="AB50" s="400"/>
      <c r="AC50" s="401"/>
      <c r="AD50" s="401"/>
      <c r="AE50" s="401"/>
      <c r="AF50" s="401"/>
      <c r="AG50" s="402"/>
      <c r="AH50" s="400"/>
      <c r="AI50" s="401"/>
      <c r="AJ50" s="401"/>
      <c r="AK50" s="401"/>
      <c r="AL50" s="401"/>
      <c r="AM50" s="402"/>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row>
    <row r="51" spans="1:80" ht="15.75" thickBot="1" x14ac:dyDescent="0.3">
      <c r="A51" s="79"/>
      <c r="B51" s="79"/>
      <c r="C51" s="79"/>
      <c r="D51" s="79"/>
      <c r="E51" s="79"/>
      <c r="F51" s="79"/>
      <c r="G51" s="79"/>
      <c r="H51" s="79"/>
      <c r="I51" s="79"/>
      <c r="J51" s="403"/>
      <c r="K51" s="404"/>
      <c r="L51" s="404"/>
      <c r="M51" s="404"/>
      <c r="N51" s="404"/>
      <c r="O51" s="405"/>
      <c r="P51" s="403"/>
      <c r="Q51" s="404"/>
      <c r="R51" s="404"/>
      <c r="S51" s="404"/>
      <c r="T51" s="404"/>
      <c r="U51" s="405"/>
      <c r="V51" s="403"/>
      <c r="W51" s="404"/>
      <c r="X51" s="404"/>
      <c r="Y51" s="404"/>
      <c r="Z51" s="404"/>
      <c r="AA51" s="405"/>
      <c r="AB51" s="403"/>
      <c r="AC51" s="404"/>
      <c r="AD51" s="404"/>
      <c r="AE51" s="404"/>
      <c r="AF51" s="404"/>
      <c r="AG51" s="405"/>
      <c r="AH51" s="403"/>
      <c r="AI51" s="404"/>
      <c r="AJ51" s="404"/>
      <c r="AK51" s="404"/>
      <c r="AL51" s="404"/>
      <c r="AM51" s="405"/>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row>
    <row r="52" spans="1:80" x14ac:dyDescent="0.25">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row>
    <row r="53" spans="1:80" ht="15" customHeight="1" x14ac:dyDescent="0.25">
      <c r="A53" s="79"/>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row>
    <row r="54" spans="1:80" ht="15" customHeight="1" x14ac:dyDescent="0.25">
      <c r="A54" s="79"/>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row>
    <row r="55" spans="1:80" x14ac:dyDescent="0.25">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row>
    <row r="56" spans="1:80" x14ac:dyDescent="0.25">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row>
    <row r="57" spans="1:80" x14ac:dyDescent="0.25">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row>
    <row r="58" spans="1:80" x14ac:dyDescent="0.25">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row>
    <row r="59" spans="1:80" x14ac:dyDescent="0.25">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row>
    <row r="60" spans="1:80" x14ac:dyDescent="0.25">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row>
    <row r="61" spans="1:80" x14ac:dyDescent="0.25">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row>
    <row r="62" spans="1:80" x14ac:dyDescent="0.25">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row>
    <row r="63" spans="1:80" x14ac:dyDescent="0.25">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79"/>
      <c r="BU63" s="79"/>
      <c r="BV63" s="79"/>
      <c r="BW63" s="79"/>
      <c r="BX63" s="79"/>
      <c r="BY63" s="79"/>
      <c r="BZ63" s="79"/>
      <c r="CA63" s="79"/>
      <c r="CB63" s="79"/>
    </row>
    <row r="64" spans="1:80" x14ac:dyDescent="0.25">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79"/>
      <c r="BU64" s="79"/>
      <c r="BV64" s="79"/>
      <c r="BW64" s="79"/>
      <c r="BX64" s="79"/>
      <c r="BY64" s="79"/>
      <c r="BZ64" s="79"/>
      <c r="CA64" s="79"/>
      <c r="CB64" s="79"/>
    </row>
    <row r="65" spans="1:80" x14ac:dyDescent="0.25">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79"/>
      <c r="BW65" s="79"/>
      <c r="BX65" s="79"/>
      <c r="BY65" s="79"/>
      <c r="BZ65" s="79"/>
      <c r="CA65" s="79"/>
      <c r="CB65" s="79"/>
    </row>
    <row r="66" spans="1:80" x14ac:dyDescent="0.2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9"/>
      <c r="BY66" s="79"/>
      <c r="BZ66" s="79"/>
      <c r="CA66" s="79"/>
      <c r="CB66" s="79"/>
    </row>
    <row r="67" spans="1:80" x14ac:dyDescent="0.25">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79"/>
      <c r="BS67" s="79"/>
      <c r="BT67" s="79"/>
      <c r="BU67" s="79"/>
      <c r="BV67" s="79"/>
      <c r="BW67" s="79"/>
      <c r="BX67" s="79"/>
      <c r="BY67" s="79"/>
      <c r="BZ67" s="79"/>
      <c r="CA67" s="79"/>
      <c r="CB67" s="79"/>
    </row>
    <row r="68" spans="1:80" x14ac:dyDescent="0.25">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79"/>
      <c r="CB68" s="79"/>
    </row>
    <row r="69" spans="1:80" x14ac:dyDescent="0.25">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row>
    <row r="70" spans="1:80" x14ac:dyDescent="0.25">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c r="BZ70" s="79"/>
      <c r="CA70" s="79"/>
      <c r="CB70" s="79"/>
    </row>
    <row r="71" spans="1:80" x14ac:dyDescent="0.25">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9"/>
      <c r="BY71" s="79"/>
      <c r="BZ71" s="79"/>
      <c r="CA71" s="79"/>
      <c r="CB71" s="79"/>
    </row>
    <row r="72" spans="1:80" x14ac:dyDescent="0.25">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c r="BZ72" s="79"/>
      <c r="CA72" s="79"/>
      <c r="CB72" s="79"/>
    </row>
    <row r="73" spans="1:80" x14ac:dyDescent="0.2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row>
    <row r="74" spans="1:80" x14ac:dyDescent="0.2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row>
    <row r="75" spans="1:80" x14ac:dyDescent="0.2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79"/>
      <c r="BV75" s="79"/>
      <c r="BW75" s="79"/>
      <c r="BX75" s="79"/>
      <c r="BY75" s="79"/>
      <c r="BZ75" s="79"/>
      <c r="CA75" s="79"/>
      <c r="CB75" s="79"/>
    </row>
    <row r="76" spans="1:80" x14ac:dyDescent="0.2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79"/>
      <c r="BV76" s="79"/>
      <c r="BW76" s="79"/>
      <c r="BX76" s="79"/>
      <c r="BY76" s="79"/>
      <c r="BZ76" s="79"/>
      <c r="CA76" s="79"/>
      <c r="CB76" s="79"/>
    </row>
    <row r="77" spans="1:80" x14ac:dyDescent="0.2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row>
    <row r="78" spans="1:80" x14ac:dyDescent="0.25">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row>
    <row r="79" spans="1:80" x14ac:dyDescent="0.25">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row>
    <row r="80" spans="1:80" x14ac:dyDescent="0.25">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row>
    <row r="81" spans="1:63" x14ac:dyDescent="0.25">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row>
    <row r="82" spans="1:63" x14ac:dyDescent="0.25">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row>
    <row r="83" spans="1:63" x14ac:dyDescent="0.25">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row>
    <row r="84" spans="1:63" x14ac:dyDescent="0.25">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row>
    <row r="85" spans="1:63" x14ac:dyDescent="0.25">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row>
    <row r="86" spans="1:63" x14ac:dyDescent="0.25">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row>
    <row r="87" spans="1:63" x14ac:dyDescent="0.25">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row>
    <row r="88" spans="1:63" x14ac:dyDescent="0.25">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row>
    <row r="89" spans="1:63" x14ac:dyDescent="0.25">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row>
    <row r="90" spans="1:63" x14ac:dyDescent="0.25">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row>
    <row r="91" spans="1:63" x14ac:dyDescent="0.25">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row>
    <row r="92" spans="1:63" x14ac:dyDescent="0.25">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row>
    <row r="93" spans="1:63" x14ac:dyDescent="0.25">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row>
    <row r="94" spans="1:63" x14ac:dyDescent="0.25">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row>
    <row r="95" spans="1:63" x14ac:dyDescent="0.25">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row>
    <row r="96" spans="1:63" x14ac:dyDescent="0.25">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row>
    <row r="97" spans="1:63" x14ac:dyDescent="0.25">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row>
    <row r="98" spans="1:63" x14ac:dyDescent="0.25">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row>
    <row r="99" spans="1:63" x14ac:dyDescent="0.25">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row>
    <row r="100" spans="1:63" x14ac:dyDescent="0.25">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row>
    <row r="101" spans="1:63" x14ac:dyDescent="0.25">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row>
    <row r="102" spans="1:63" x14ac:dyDescent="0.25">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row>
    <row r="103" spans="1:63" x14ac:dyDescent="0.25">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79"/>
    </row>
    <row r="104" spans="1:63" x14ac:dyDescent="0.25">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79"/>
      <c r="BJ104" s="79"/>
      <c r="BK104" s="79"/>
    </row>
    <row r="105" spans="1:63" x14ac:dyDescent="0.25">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79"/>
      <c r="BJ105" s="79"/>
      <c r="BK105" s="79"/>
    </row>
    <row r="106" spans="1:63" x14ac:dyDescent="0.25">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79"/>
      <c r="BJ106" s="79"/>
      <c r="BK106" s="79"/>
    </row>
    <row r="107" spans="1:63" x14ac:dyDescent="0.25">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79"/>
    </row>
    <row r="108" spans="1:63" x14ac:dyDescent="0.25">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row>
    <row r="109" spans="1:63" x14ac:dyDescent="0.25">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row>
    <row r="110" spans="1:63" x14ac:dyDescent="0.25">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79"/>
    </row>
    <row r="111" spans="1:63" x14ac:dyDescent="0.25">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row>
    <row r="112" spans="1:63" x14ac:dyDescent="0.25">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row>
    <row r="113" spans="1:63" x14ac:dyDescent="0.25">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79"/>
      <c r="BK113" s="79"/>
    </row>
    <row r="114" spans="1:63" x14ac:dyDescent="0.25">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79"/>
      <c r="BJ114" s="79"/>
      <c r="BK114" s="79"/>
    </row>
    <row r="115" spans="1:63" x14ac:dyDescent="0.25">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79"/>
      <c r="BJ115" s="79"/>
      <c r="BK115" s="79"/>
    </row>
    <row r="116" spans="1:63" x14ac:dyDescent="0.25">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79"/>
      <c r="BJ116" s="79"/>
      <c r="BK116" s="79"/>
    </row>
    <row r="117" spans="1:63" x14ac:dyDescent="0.25">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79"/>
    </row>
    <row r="118" spans="1:63" x14ac:dyDescent="0.25">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79"/>
    </row>
    <row r="119" spans="1:63" x14ac:dyDescent="0.25">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row>
    <row r="120" spans="1:63" x14ac:dyDescent="0.25">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79"/>
      <c r="BK120" s="79"/>
    </row>
    <row r="121" spans="1:63" x14ac:dyDescent="0.25">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79"/>
      <c r="BJ121" s="79"/>
      <c r="BK121" s="79"/>
    </row>
    <row r="122" spans="1:63" x14ac:dyDescent="0.25">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79"/>
      <c r="BJ122" s="79"/>
      <c r="BK122" s="79"/>
    </row>
    <row r="123" spans="1:63" x14ac:dyDescent="0.25">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c r="BI123" s="79"/>
      <c r="BJ123" s="79"/>
      <c r="BK123" s="79"/>
    </row>
    <row r="124" spans="1:63" x14ac:dyDescent="0.25">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c r="BI124" s="79"/>
      <c r="BJ124" s="79"/>
      <c r="BK124" s="79"/>
    </row>
    <row r="125" spans="1:63" x14ac:dyDescent="0.25">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c r="BI125" s="79"/>
      <c r="BJ125" s="79"/>
      <c r="BK125" s="79"/>
    </row>
    <row r="126" spans="1:63" x14ac:dyDescent="0.25">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79"/>
      <c r="BJ126" s="79"/>
      <c r="BK126" s="79"/>
    </row>
    <row r="127" spans="1:63" x14ac:dyDescent="0.25">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row>
    <row r="128" spans="1:63" x14ac:dyDescent="0.25">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c r="BI128" s="79"/>
      <c r="BJ128" s="79"/>
      <c r="BK128" s="79"/>
    </row>
    <row r="129" spans="2:63" x14ac:dyDescent="0.25">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79"/>
      <c r="BJ129" s="79"/>
      <c r="BK129" s="79"/>
    </row>
    <row r="130" spans="2:63" x14ac:dyDescent="0.25">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79"/>
      <c r="BI130" s="79"/>
      <c r="BJ130" s="79"/>
      <c r="BK130" s="79"/>
    </row>
    <row r="131" spans="2:63" x14ac:dyDescent="0.25">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79"/>
      <c r="BH131" s="79"/>
      <c r="BI131" s="79"/>
      <c r="BJ131" s="79"/>
      <c r="BK131" s="79"/>
    </row>
    <row r="132" spans="2:63" x14ac:dyDescent="0.25">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c r="BI132" s="79"/>
      <c r="BJ132" s="79"/>
      <c r="BK132" s="79"/>
    </row>
    <row r="133" spans="2:63" x14ac:dyDescent="0.25">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c r="BI133" s="79"/>
      <c r="BJ133" s="79"/>
      <c r="BK133" s="79"/>
    </row>
    <row r="134" spans="2:63" x14ac:dyDescent="0.25">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79"/>
      <c r="BJ134" s="79"/>
      <c r="BK134" s="79"/>
    </row>
    <row r="135" spans="2:63" x14ac:dyDescent="0.25">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c r="BI135" s="79"/>
      <c r="BJ135" s="79"/>
      <c r="BK135" s="79"/>
    </row>
    <row r="136" spans="2:63" x14ac:dyDescent="0.25">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79"/>
      <c r="BI136" s="79"/>
      <c r="BJ136" s="79"/>
      <c r="BK136" s="79"/>
    </row>
    <row r="137" spans="2:63" x14ac:dyDescent="0.25">
      <c r="B137" s="79"/>
      <c r="C137" s="79"/>
      <c r="D137" s="79"/>
      <c r="E137" s="79"/>
      <c r="F137" s="79"/>
      <c r="G137" s="79"/>
      <c r="H137" s="79"/>
      <c r="I137" s="79"/>
    </row>
    <row r="138" spans="2:63" x14ac:dyDescent="0.25">
      <c r="B138" s="79"/>
      <c r="C138" s="79"/>
      <c r="D138" s="79"/>
      <c r="E138" s="79"/>
      <c r="F138" s="79"/>
      <c r="G138" s="79"/>
      <c r="H138" s="79"/>
      <c r="I138" s="79"/>
    </row>
    <row r="139" spans="2:63" x14ac:dyDescent="0.25">
      <c r="B139" s="79"/>
      <c r="C139" s="79"/>
      <c r="D139" s="79"/>
      <c r="E139" s="79"/>
      <c r="F139" s="79"/>
      <c r="G139" s="79"/>
      <c r="H139" s="79"/>
      <c r="I139" s="79"/>
    </row>
    <row r="140" spans="2:63" x14ac:dyDescent="0.25">
      <c r="B140" s="79"/>
      <c r="C140" s="79"/>
      <c r="D140" s="79"/>
      <c r="E140" s="79"/>
      <c r="F140" s="79"/>
      <c r="G140" s="79"/>
      <c r="H140" s="79"/>
      <c r="I140" s="79"/>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6" zoomScale="50" zoomScaleNormal="50" workbookViewId="0">
      <selection activeCell="AA41" sqref="AA41"/>
    </sheetView>
  </sheetViews>
  <sheetFormatPr baseColWidth="10" defaultRowHeight="15" x14ac:dyDescent="0.25"/>
  <cols>
    <col min="2" max="18" width="5.5703125" customWidth="1"/>
    <col min="19" max="19" width="8.42578125" customWidth="1"/>
    <col min="20" max="23" width="5.5703125" customWidth="1"/>
    <col min="24" max="24" width="8.5703125" customWidth="1"/>
    <col min="25" max="26" width="5.5703125" customWidth="1"/>
    <col min="27" max="27" width="10.5703125" customWidth="1"/>
    <col min="28" max="28" width="5.5703125" customWidth="1"/>
    <col min="29" max="29" width="7.42578125" customWidth="1"/>
    <col min="30" max="33" width="5.5703125" customWidth="1"/>
    <col min="34" max="34" width="8.5703125" customWidth="1"/>
    <col min="35" max="39" width="5.5703125" customWidth="1"/>
    <col min="41" max="46" width="5.5703125" customWidth="1"/>
  </cols>
  <sheetData>
    <row r="1" spans="1:91" x14ac:dyDescent="0.25">
      <c r="A1" s="79"/>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row>
    <row r="2" spans="1:91" ht="18" customHeight="1" x14ac:dyDescent="0.25">
      <c r="A2" s="79"/>
      <c r="B2" s="474" t="s">
        <v>157</v>
      </c>
      <c r="C2" s="475"/>
      <c r="D2" s="475"/>
      <c r="E2" s="475"/>
      <c r="F2" s="475"/>
      <c r="G2" s="475"/>
      <c r="H2" s="475"/>
      <c r="I2" s="475"/>
      <c r="J2" s="396" t="s">
        <v>2</v>
      </c>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row>
    <row r="3" spans="1:91" ht="18.75" customHeight="1" x14ac:dyDescent="0.25">
      <c r="A3" s="79"/>
      <c r="B3" s="475"/>
      <c r="C3" s="475"/>
      <c r="D3" s="475"/>
      <c r="E3" s="475"/>
      <c r="F3" s="475"/>
      <c r="G3" s="475"/>
      <c r="H3" s="475"/>
      <c r="I3" s="475"/>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row>
    <row r="4" spans="1:91" ht="15" customHeight="1" x14ac:dyDescent="0.25">
      <c r="A4" s="79"/>
      <c r="B4" s="475"/>
      <c r="C4" s="475"/>
      <c r="D4" s="475"/>
      <c r="E4" s="475"/>
      <c r="F4" s="475"/>
      <c r="G4" s="475"/>
      <c r="H4" s="475"/>
      <c r="I4" s="475"/>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6"/>
      <c r="AM4" s="396"/>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row>
    <row r="5" spans="1:91" ht="15.75" thickBot="1" x14ac:dyDescent="0.3">
      <c r="A5" s="79"/>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row>
    <row r="6" spans="1:91" ht="15" customHeight="1" x14ac:dyDescent="0.25">
      <c r="A6" s="79"/>
      <c r="B6" s="407" t="s">
        <v>4</v>
      </c>
      <c r="C6" s="407"/>
      <c r="D6" s="408"/>
      <c r="E6" s="445" t="s">
        <v>116</v>
      </c>
      <c r="F6" s="446"/>
      <c r="G6" s="446"/>
      <c r="H6" s="446"/>
      <c r="I6" s="447"/>
      <c r="J6" s="42" t="e">
        <f>IF(AND('Mapa final'!#REF!="Muy Alta",'Mapa final'!#REF!="Leve"),CONCATENATE("R1C",'Mapa final'!#REF!),"")</f>
        <v>#REF!</v>
      </c>
      <c r="K6" s="43" t="e">
        <f>IF(AND('Mapa final'!#REF!="Muy Alta",'Mapa final'!#REF!="Leve"),CONCATENATE("R1C",'Mapa final'!#REF!),"")</f>
        <v>#REF!</v>
      </c>
      <c r="L6" s="43" t="e">
        <f>IF(AND('Mapa final'!#REF!="Muy Alta",'Mapa final'!#REF!="Leve"),CONCATENATE("R1C",'Mapa final'!#REF!),"")</f>
        <v>#REF!</v>
      </c>
      <c r="M6" s="43" t="str">
        <f>IF(AND('Mapa final'!$Y$10="Muy Alta",'Mapa final'!$AA$10="Leve"),CONCATENATE("R1C",'Mapa final'!$O$10),"")</f>
        <v/>
      </c>
      <c r="N6" s="43" t="str">
        <f>IF(AND('Mapa final'!$Y$14="Muy Alta",'Mapa final'!$AA$14="Leve"),CONCATENATE("R1C",'Mapa final'!$O$14),"")</f>
        <v/>
      </c>
      <c r="O6" s="44" t="str">
        <f>IF(AND('Mapa final'!$Y$17="Muy Alta",'Mapa final'!$AA$17="Leve"),CONCATENATE("R1C",'Mapa final'!$O$17),"")</f>
        <v/>
      </c>
      <c r="P6" s="42" t="e">
        <f>IF(AND('Mapa final'!#REF!="Muy Alta",'Mapa final'!#REF!="Menor"),CONCATENATE("R1C",'Mapa final'!#REF!),"")</f>
        <v>#REF!</v>
      </c>
      <c r="Q6" s="43" t="e">
        <f>IF(AND('Mapa final'!#REF!="Muy Alta",'Mapa final'!#REF!="Menor"),CONCATENATE("R1C",'Mapa final'!#REF!),"")</f>
        <v>#REF!</v>
      </c>
      <c r="R6" s="43" t="e">
        <f>IF(AND('Mapa final'!#REF!="Muy Alta",'Mapa final'!#REF!="Menor"),CONCATENATE("R1C",'Mapa final'!#REF!),"")</f>
        <v>#REF!</v>
      </c>
      <c r="S6" s="43" t="str">
        <f>IF(AND('Mapa final'!$Y$10="Muy Alta",'Mapa final'!$AA$10="Menor"),CONCATENATE("R1C",'Mapa final'!$O$10),"")</f>
        <v/>
      </c>
      <c r="T6" s="43" t="str">
        <f>IF(AND('Mapa final'!$Y$14="Muy Alta",'Mapa final'!$AA$14="Menor"),CONCATENATE("R1C",'Mapa final'!$O$14),"")</f>
        <v/>
      </c>
      <c r="U6" s="44" t="str">
        <f>IF(AND('Mapa final'!$Y$17="Muy Alta",'Mapa final'!$AA$17="Menor"),CONCATENATE("R1C",'Mapa final'!$O$17),"")</f>
        <v/>
      </c>
      <c r="V6" s="42" t="e">
        <f>IF(AND('Mapa final'!#REF!="Muy Alta",'Mapa final'!#REF!="Moderado"),CONCATENATE("R1C",'Mapa final'!#REF!),"")</f>
        <v>#REF!</v>
      </c>
      <c r="W6" s="43" t="e">
        <f>IF(AND('Mapa final'!#REF!="Muy Alta",'Mapa final'!#REF!="Moderado"),CONCATENATE("R1C",'Mapa final'!#REF!),"")</f>
        <v>#REF!</v>
      </c>
      <c r="X6" s="43" t="e">
        <f>IF(AND('Mapa final'!#REF!="Muy Alta",'Mapa final'!#REF!="Moderado"),CONCATENATE("R1C",'Mapa final'!#REF!),"")</f>
        <v>#REF!</v>
      </c>
      <c r="Y6" s="43" t="str">
        <f>IF(AND('Mapa final'!$Y$10="Muy Alta",'Mapa final'!$AA$10="Moderado"),CONCATENATE("R1C",'Mapa final'!$O$10),"")</f>
        <v/>
      </c>
      <c r="Z6" s="43" t="str">
        <f>IF(AND('Mapa final'!$Y$14="Muy Alta",'Mapa final'!$AA$14="Moderado"),CONCATENATE("R1C",'Mapa final'!$O$14),"")</f>
        <v/>
      </c>
      <c r="AA6" s="44" t="str">
        <f>IF(AND('Mapa final'!$Y$17="Muy Alta",'Mapa final'!$AA$17="Moderado"),CONCATENATE("R1C",'Mapa final'!$O$17),"")</f>
        <v/>
      </c>
      <c r="AB6" s="42" t="e">
        <f>IF(AND('Mapa final'!#REF!="Muy Alta",'Mapa final'!#REF!="Mayor"),CONCATENATE("R1C",'Mapa final'!#REF!),"")</f>
        <v>#REF!</v>
      </c>
      <c r="AC6" s="43" t="e">
        <f>IF(AND('Mapa final'!#REF!="Muy Alta",'Mapa final'!#REF!="Mayor"),CONCATENATE("R1C",'Mapa final'!#REF!),"")</f>
        <v>#REF!</v>
      </c>
      <c r="AD6" s="43" t="e">
        <f>IF(AND('Mapa final'!#REF!="Muy Alta",'Mapa final'!#REF!="Mayor"),CONCATENATE("R1C",'Mapa final'!#REF!),"")</f>
        <v>#REF!</v>
      </c>
      <c r="AE6" s="43" t="str">
        <f>IF(AND('Mapa final'!$Y$10="Muy Alta",'Mapa final'!$AA$10="Mayor"),CONCATENATE("R1C",'Mapa final'!$O$10),"")</f>
        <v/>
      </c>
      <c r="AF6" s="43" t="str">
        <f>IF(AND('Mapa final'!$Y$14="Muy Alta",'Mapa final'!$AA$14="Mayor"),CONCATENATE("R1C",'Mapa final'!$O$14),"")</f>
        <v/>
      </c>
      <c r="AG6" s="44" t="str">
        <f>IF(AND('Mapa final'!$Y$17="Muy Alta",'Mapa final'!$AA$17="Mayor"),CONCATENATE("R1C",'Mapa final'!$O$17),"")</f>
        <v/>
      </c>
      <c r="AH6" s="45" t="e">
        <f>IF(AND('Mapa final'!#REF!="Muy Alta",'Mapa final'!#REF!="Catastrófico"),CONCATENATE("R1C",'Mapa final'!#REF!),"")</f>
        <v>#REF!</v>
      </c>
      <c r="AI6" s="46" t="e">
        <f>IF(AND('Mapa final'!#REF!="Muy Alta",'Mapa final'!#REF!="Catastrófico"),CONCATENATE("R1C",'Mapa final'!#REF!),"")</f>
        <v>#REF!</v>
      </c>
      <c r="AJ6" s="46" t="e">
        <f>IF(AND('Mapa final'!#REF!="Muy Alta",'Mapa final'!#REF!="Catastrófico"),CONCATENATE("R1C",'Mapa final'!#REF!),"")</f>
        <v>#REF!</v>
      </c>
      <c r="AK6" s="46" t="str">
        <f>IF(AND('Mapa final'!$Y$10="Muy Alta",'Mapa final'!$AA$10="Catastrófico"),CONCATENATE("R1C",'Mapa final'!$O$10),"")</f>
        <v/>
      </c>
      <c r="AL6" s="46" t="str">
        <f>IF(AND('Mapa final'!$Y$14="Muy Alta",'Mapa final'!$AA$14="Catastrófico"),CONCATENATE("R1C",'Mapa final'!$O$14),"")</f>
        <v/>
      </c>
      <c r="AM6" s="47" t="str">
        <f>IF(AND('Mapa final'!$Y$17="Muy Alta",'Mapa final'!$AA$17="Catastrófico"),CONCATENATE("R1C",'Mapa final'!$O$17),"")</f>
        <v/>
      </c>
      <c r="AN6" s="79"/>
      <c r="AO6" s="465" t="s">
        <v>79</v>
      </c>
      <c r="AP6" s="466"/>
      <c r="AQ6" s="466"/>
      <c r="AR6" s="466"/>
      <c r="AS6" s="466"/>
      <c r="AT6" s="467"/>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row>
    <row r="7" spans="1:91" ht="15" customHeight="1" x14ac:dyDescent="0.25">
      <c r="A7" s="79"/>
      <c r="B7" s="407"/>
      <c r="C7" s="407"/>
      <c r="D7" s="408"/>
      <c r="E7" s="448"/>
      <c r="F7" s="449"/>
      <c r="G7" s="449"/>
      <c r="H7" s="449"/>
      <c r="I7" s="450"/>
      <c r="J7" s="48" t="str">
        <f>IF(AND('Mapa final'!$Y$19="Muy Alta",'Mapa final'!$AA$19="Leve"),CONCATENATE("R2C",'Mapa final'!$O$19),"")</f>
        <v/>
      </c>
      <c r="K7" s="49" t="str">
        <f>IF(AND('Mapa final'!$Y$22="Muy Alta",'Mapa final'!$AA$22="Leve"),CONCATENATE("R2C",'Mapa final'!$O$22),"")</f>
        <v/>
      </c>
      <c r="L7" s="49" t="str">
        <f>IF(AND('Mapa final'!$Y$25="Muy Alta",'Mapa final'!$AA$25="Leve"),CONCATENATE("R2C",'Mapa final'!$O$25),"")</f>
        <v/>
      </c>
      <c r="M7" s="49" t="str">
        <f>IF(AND('Mapa final'!$Y$26="Muy Alta",'Mapa final'!$AA$26="Leve"),CONCATENATE("R2C",'Mapa final'!$O$26),"")</f>
        <v/>
      </c>
      <c r="N7" s="49" t="str">
        <f>IF(AND('Mapa final'!$Y$27="Muy Alta",'Mapa final'!$AA$27="Leve"),CONCATENATE("R2C",'Mapa final'!$O$27),"")</f>
        <v/>
      </c>
      <c r="O7" s="50" t="str">
        <f>IF(AND('Mapa final'!$Y$28="Muy Alta",'Mapa final'!$AA$28="Leve"),CONCATENATE("R2C",'Mapa final'!$O$28),"")</f>
        <v/>
      </c>
      <c r="P7" s="48" t="str">
        <f>IF(AND('Mapa final'!$Y$19="Muy Alta",'Mapa final'!$AA$19="Menor"),CONCATENATE("R2C",'Mapa final'!$O$19),"")</f>
        <v/>
      </c>
      <c r="Q7" s="49" t="str">
        <f>IF(AND('Mapa final'!$Y$22="Muy Alta",'Mapa final'!$AA$22="Menor"),CONCATENATE("R2C",'Mapa final'!$O$22),"")</f>
        <v/>
      </c>
      <c r="R7" s="49" t="str">
        <f>IF(AND('Mapa final'!$Y$25="Muy Alta",'Mapa final'!$AA$25="Menor"),CONCATENATE("R2C",'Mapa final'!$O$25),"")</f>
        <v/>
      </c>
      <c r="S7" s="49" t="str">
        <f>IF(AND('Mapa final'!$Y$26="Muy Alta",'Mapa final'!$AA$26="Menor"),CONCATENATE("R2C",'Mapa final'!$O$26),"")</f>
        <v/>
      </c>
      <c r="T7" s="49" t="str">
        <f>IF(AND('Mapa final'!$Y$27="Muy Alta",'Mapa final'!$AA$27="Menor"),CONCATENATE("R2C",'Mapa final'!$O$27),"")</f>
        <v/>
      </c>
      <c r="U7" s="50" t="str">
        <f>IF(AND('Mapa final'!$Y$28="Muy Alta",'Mapa final'!$AA$28="Menor"),CONCATENATE("R2C",'Mapa final'!$O$28),"")</f>
        <v/>
      </c>
      <c r="V7" s="48" t="str">
        <f>IF(AND('Mapa final'!$Y$19="Muy Alta",'Mapa final'!$AA$19="Moderado"),CONCATENATE("R2C",'Mapa final'!$O$19),"")</f>
        <v/>
      </c>
      <c r="W7" s="49" t="str">
        <f>IF(AND('Mapa final'!$Y$22="Muy Alta",'Mapa final'!$AA$22="Moderado"),CONCATENATE("R2C",'Mapa final'!$O$22),"")</f>
        <v/>
      </c>
      <c r="X7" s="49" t="str">
        <f>IF(AND('Mapa final'!$Y$25="Muy Alta",'Mapa final'!$AA$25="Moderado"),CONCATENATE("R2C",'Mapa final'!$O$25),"")</f>
        <v/>
      </c>
      <c r="Y7" s="49" t="str">
        <f>IF(AND('Mapa final'!$Y$26="Muy Alta",'Mapa final'!$AA$26="Moderado"),CONCATENATE("R2C",'Mapa final'!$O$26),"")</f>
        <v/>
      </c>
      <c r="Z7" s="49" t="str">
        <f>IF(AND('Mapa final'!$Y$27="Muy Alta",'Mapa final'!$AA$27="Moderado"),CONCATENATE("R2C",'Mapa final'!$O$27),"")</f>
        <v/>
      </c>
      <c r="AA7" s="50" t="str">
        <f>IF(AND('Mapa final'!$Y$28="Muy Alta",'Mapa final'!$AA$28="Moderado"),CONCATENATE("R2C",'Mapa final'!$O$28),"")</f>
        <v/>
      </c>
      <c r="AB7" s="48" t="str">
        <f>IF(AND('Mapa final'!$Y$19="Muy Alta",'Mapa final'!$AA$19="Mayor"),CONCATENATE("R2C",'Mapa final'!$O$19),"")</f>
        <v/>
      </c>
      <c r="AC7" s="49" t="str">
        <f>IF(AND('Mapa final'!$Y$22="Muy Alta",'Mapa final'!$AA$22="Mayor"),CONCATENATE("R2C",'Mapa final'!$O$22),"")</f>
        <v/>
      </c>
      <c r="AD7" s="49" t="str">
        <f>IF(AND('Mapa final'!$Y$25="Muy Alta",'Mapa final'!$AA$25="Mayor"),CONCATENATE("R2C",'Mapa final'!$O$25),"")</f>
        <v/>
      </c>
      <c r="AE7" s="49" t="str">
        <f>IF(AND('Mapa final'!$Y$26="Muy Alta",'Mapa final'!$AA$26="Mayor"),CONCATENATE("R2C",'Mapa final'!$O$26),"")</f>
        <v/>
      </c>
      <c r="AF7" s="49" t="str">
        <f>IF(AND('Mapa final'!$Y$27="Muy Alta",'Mapa final'!$AA$27="Mayor"),CONCATENATE("R2C",'Mapa final'!$O$27),"")</f>
        <v/>
      </c>
      <c r="AG7" s="50" t="str">
        <f>IF(AND('Mapa final'!$Y$28="Muy Alta",'Mapa final'!$AA$28="Mayor"),CONCATENATE("R2C",'Mapa final'!$O$28),"")</f>
        <v/>
      </c>
      <c r="AH7" s="51" t="str">
        <f>IF(AND('Mapa final'!$Y$19="Muy Alta",'Mapa final'!$AA$19="Catastrófico"),CONCATENATE("R2C",'Mapa final'!$O$19),"")</f>
        <v/>
      </c>
      <c r="AI7" s="52" t="str">
        <f>IF(AND('Mapa final'!$Y$22="Muy Alta",'Mapa final'!$AA$22="Catastrófico"),CONCATENATE("R2C",'Mapa final'!$O$22),"")</f>
        <v/>
      </c>
      <c r="AJ7" s="52" t="str">
        <f>IF(AND('Mapa final'!$Y$25="Muy Alta",'Mapa final'!$AA$25="Catastrófico"),CONCATENATE("R2C",'Mapa final'!$O$25),"")</f>
        <v/>
      </c>
      <c r="AK7" s="52" t="str">
        <f>IF(AND('Mapa final'!$Y$26="Muy Alta",'Mapa final'!$AA$26="Catastrófico"),CONCATENATE("R2C",'Mapa final'!$O$26),"")</f>
        <v/>
      </c>
      <c r="AL7" s="52" t="str">
        <f>IF(AND('Mapa final'!$Y$27="Muy Alta",'Mapa final'!$AA$27="Catastrófico"),CONCATENATE("R2C",'Mapa final'!$O$27),"")</f>
        <v/>
      </c>
      <c r="AM7" s="53" t="str">
        <f>IF(AND('Mapa final'!$Y$28="Muy Alta",'Mapa final'!$AA$28="Catastrófico"),CONCATENATE("R2C",'Mapa final'!$O$28),"")</f>
        <v/>
      </c>
      <c r="AN7" s="79"/>
      <c r="AO7" s="468"/>
      <c r="AP7" s="469"/>
      <c r="AQ7" s="469"/>
      <c r="AR7" s="469"/>
      <c r="AS7" s="469"/>
      <c r="AT7" s="470"/>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row>
    <row r="8" spans="1:91" ht="15" customHeight="1" x14ac:dyDescent="0.25">
      <c r="A8" s="79"/>
      <c r="B8" s="407"/>
      <c r="C8" s="407"/>
      <c r="D8" s="408"/>
      <c r="E8" s="448"/>
      <c r="F8" s="449"/>
      <c r="G8" s="449"/>
      <c r="H8" s="449"/>
      <c r="I8" s="450"/>
      <c r="J8" s="48" t="str">
        <f>IF(AND('Mapa final'!$Y$29="Muy Alta",'Mapa final'!$AA$29="Leve"),CONCATENATE("R3C",'Mapa final'!$O$29),"")</f>
        <v/>
      </c>
      <c r="K8" s="49" t="e">
        <f>IF(AND('Mapa final'!#REF!="Muy Alta",'Mapa final'!#REF!="Leve"),CONCATENATE("R3C",'Mapa final'!#REF!),"")</f>
        <v>#REF!</v>
      </c>
      <c r="L8" s="49" t="e">
        <f>IF(AND('Mapa final'!#REF!="Muy Alta",'Mapa final'!#REF!="Leve"),CONCATENATE("R3C",'Mapa final'!#REF!),"")</f>
        <v>#REF!</v>
      </c>
      <c r="M8" s="49" t="e">
        <f>IF(AND('Mapa final'!#REF!="Muy Alta",'Mapa final'!#REF!="Leve"),CONCATENATE("R3C",'Mapa final'!#REF!),"")</f>
        <v>#REF!</v>
      </c>
      <c r="N8" s="49" t="e">
        <f>IF(AND('Mapa final'!#REF!="Muy Alta",'Mapa final'!#REF!="Leve"),CONCATENATE("R3C",'Mapa final'!#REF!),"")</f>
        <v>#REF!</v>
      </c>
      <c r="O8" s="50" t="e">
        <f>IF(AND('Mapa final'!#REF!="Muy Alta",'Mapa final'!#REF!="Leve"),CONCATENATE("R3C",'Mapa final'!#REF!),"")</f>
        <v>#REF!</v>
      </c>
      <c r="P8" s="48" t="str">
        <f>IF(AND('Mapa final'!$Y$29="Muy Alta",'Mapa final'!$AA$29="Menor"),CONCATENATE("R3C",'Mapa final'!$O$29),"")</f>
        <v/>
      </c>
      <c r="Q8" s="49" t="e">
        <f>IF(AND('Mapa final'!#REF!="Muy Alta",'Mapa final'!#REF!="Menor"),CONCATENATE("R3C",'Mapa final'!#REF!),"")</f>
        <v>#REF!</v>
      </c>
      <c r="R8" s="49" t="e">
        <f>IF(AND('Mapa final'!#REF!="Muy Alta",'Mapa final'!#REF!="Menor"),CONCATENATE("R3C",'Mapa final'!#REF!),"")</f>
        <v>#REF!</v>
      </c>
      <c r="S8" s="49" t="e">
        <f>IF(AND('Mapa final'!#REF!="Muy Alta",'Mapa final'!#REF!="Menor"),CONCATENATE("R3C",'Mapa final'!#REF!),"")</f>
        <v>#REF!</v>
      </c>
      <c r="T8" s="49" t="e">
        <f>IF(AND('Mapa final'!#REF!="Muy Alta",'Mapa final'!#REF!="Menor"),CONCATENATE("R3C",'Mapa final'!#REF!),"")</f>
        <v>#REF!</v>
      </c>
      <c r="U8" s="50" t="e">
        <f>IF(AND('Mapa final'!#REF!="Muy Alta",'Mapa final'!#REF!="Menor"),CONCATENATE("R3C",'Mapa final'!#REF!),"")</f>
        <v>#REF!</v>
      </c>
      <c r="V8" s="48" t="str">
        <f>IF(AND('Mapa final'!$Y$29="Muy Alta",'Mapa final'!$AA$29="Moderado"),CONCATENATE("R3C",'Mapa final'!$O$29),"")</f>
        <v/>
      </c>
      <c r="W8" s="49" t="e">
        <f>IF(AND('Mapa final'!#REF!="Muy Alta",'Mapa final'!#REF!="Moderado"),CONCATENATE("R3C",'Mapa final'!#REF!),"")</f>
        <v>#REF!</v>
      </c>
      <c r="X8" s="49" t="e">
        <f>IF(AND('Mapa final'!#REF!="Muy Alta",'Mapa final'!#REF!="Moderado"),CONCATENATE("R3C",'Mapa final'!#REF!),"")</f>
        <v>#REF!</v>
      </c>
      <c r="Y8" s="49" t="e">
        <f>IF(AND('Mapa final'!#REF!="Muy Alta",'Mapa final'!#REF!="Moderado"),CONCATENATE("R3C",'Mapa final'!#REF!),"")</f>
        <v>#REF!</v>
      </c>
      <c r="Z8" s="49" t="e">
        <f>IF(AND('Mapa final'!#REF!="Muy Alta",'Mapa final'!#REF!="Moderado"),CONCATENATE("R3C",'Mapa final'!#REF!),"")</f>
        <v>#REF!</v>
      </c>
      <c r="AA8" s="50" t="e">
        <f>IF(AND('Mapa final'!#REF!="Muy Alta",'Mapa final'!#REF!="Moderado"),CONCATENATE("R3C",'Mapa final'!#REF!),"")</f>
        <v>#REF!</v>
      </c>
      <c r="AB8" s="48" t="str">
        <f>IF(AND('Mapa final'!$Y$29="Muy Alta",'Mapa final'!$AA$29="Mayor"),CONCATENATE("R3C",'Mapa final'!$O$29),"")</f>
        <v/>
      </c>
      <c r="AC8" s="49" t="e">
        <f>IF(AND('Mapa final'!#REF!="Muy Alta",'Mapa final'!#REF!="Mayor"),CONCATENATE("R3C",'Mapa final'!#REF!),"")</f>
        <v>#REF!</v>
      </c>
      <c r="AD8" s="49" t="e">
        <f>IF(AND('Mapa final'!#REF!="Muy Alta",'Mapa final'!#REF!="Mayor"),CONCATENATE("R3C",'Mapa final'!#REF!),"")</f>
        <v>#REF!</v>
      </c>
      <c r="AE8" s="49" t="e">
        <f>IF(AND('Mapa final'!#REF!="Muy Alta",'Mapa final'!#REF!="Mayor"),CONCATENATE("R3C",'Mapa final'!#REF!),"")</f>
        <v>#REF!</v>
      </c>
      <c r="AF8" s="49" t="e">
        <f>IF(AND('Mapa final'!#REF!="Muy Alta",'Mapa final'!#REF!="Mayor"),CONCATENATE("R3C",'Mapa final'!#REF!),"")</f>
        <v>#REF!</v>
      </c>
      <c r="AG8" s="50" t="e">
        <f>IF(AND('Mapa final'!#REF!="Muy Alta",'Mapa final'!#REF!="Mayor"),CONCATENATE("R3C",'Mapa final'!#REF!),"")</f>
        <v>#REF!</v>
      </c>
      <c r="AH8" s="51" t="str">
        <f>IF(AND('Mapa final'!$Y$29="Muy Alta",'Mapa final'!$AA$29="Catastrófico"),CONCATENATE("R3C",'Mapa final'!$O$29),"")</f>
        <v/>
      </c>
      <c r="AI8" s="52" t="e">
        <f>IF(AND('Mapa final'!#REF!="Muy Alta",'Mapa final'!#REF!="Catastrófico"),CONCATENATE("R3C",'Mapa final'!#REF!),"")</f>
        <v>#REF!</v>
      </c>
      <c r="AJ8" s="52" t="e">
        <f>IF(AND('Mapa final'!#REF!="Muy Alta",'Mapa final'!#REF!="Catastrófico"),CONCATENATE("R3C",'Mapa final'!#REF!),"")</f>
        <v>#REF!</v>
      </c>
      <c r="AK8" s="52" t="e">
        <f>IF(AND('Mapa final'!#REF!="Muy Alta",'Mapa final'!#REF!="Catastrófico"),CONCATENATE("R3C",'Mapa final'!#REF!),"")</f>
        <v>#REF!</v>
      </c>
      <c r="AL8" s="52" t="e">
        <f>IF(AND('Mapa final'!#REF!="Muy Alta",'Mapa final'!#REF!="Catastrófico"),CONCATENATE("R3C",'Mapa final'!#REF!),"")</f>
        <v>#REF!</v>
      </c>
      <c r="AM8" s="53" t="e">
        <f>IF(AND('Mapa final'!#REF!="Muy Alta",'Mapa final'!#REF!="Catastrófico"),CONCATENATE("R3C",'Mapa final'!#REF!),"")</f>
        <v>#REF!</v>
      </c>
      <c r="AN8" s="79"/>
      <c r="AO8" s="468"/>
      <c r="AP8" s="469"/>
      <c r="AQ8" s="469"/>
      <c r="AR8" s="469"/>
      <c r="AS8" s="469"/>
      <c r="AT8" s="470"/>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row>
    <row r="9" spans="1:91" ht="15" customHeight="1" x14ac:dyDescent="0.25">
      <c r="A9" s="79"/>
      <c r="B9" s="407"/>
      <c r="C9" s="407"/>
      <c r="D9" s="408"/>
      <c r="E9" s="448"/>
      <c r="F9" s="449"/>
      <c r="G9" s="449"/>
      <c r="H9" s="449"/>
      <c r="I9" s="450"/>
      <c r="J9" s="48" t="str">
        <f>IF(AND('Mapa final'!$Y$43="Muy Alta",'Mapa final'!$AA$43="Leve"),CONCATENATE("R4C",'Mapa final'!$O$43),"")</f>
        <v/>
      </c>
      <c r="K9" s="49" t="str">
        <f>IF(AND('Mapa final'!$Y$44="Muy Alta",'Mapa final'!$AA$44="Leve"),CONCATENATE("R4C",'Mapa final'!$O$44),"")</f>
        <v/>
      </c>
      <c r="L9" s="49" t="str">
        <f>IF(AND('Mapa final'!$Y$45="Muy Alta",'Mapa final'!$AA$45="Leve"),CONCATENATE("R4C",'Mapa final'!$O$45),"")</f>
        <v/>
      </c>
      <c r="M9" s="49" t="str">
        <f>IF(AND('Mapa final'!$Y$46="Muy Alta",'Mapa final'!$AA$46="Leve"),CONCATENATE("R4C",'Mapa final'!$O$46),"")</f>
        <v/>
      </c>
      <c r="N9" s="49" t="str">
        <f>IF(AND('Mapa final'!$Y$47="Muy Alta",'Mapa final'!$AA$47="Leve"),CONCATENATE("R4C",'Mapa final'!$O$47),"")</f>
        <v/>
      </c>
      <c r="O9" s="50" t="str">
        <f>IF(AND('Mapa final'!$Y$48="Muy Alta",'Mapa final'!$AA$48="Leve"),CONCATENATE("R4C",'Mapa final'!$O$48),"")</f>
        <v/>
      </c>
      <c r="P9" s="48" t="str">
        <f>IF(AND('Mapa final'!$Y$43="Muy Alta",'Mapa final'!$AA$43="Menor"),CONCATENATE("R4C",'Mapa final'!$O$43),"")</f>
        <v/>
      </c>
      <c r="Q9" s="49" t="str">
        <f>IF(AND('Mapa final'!$Y$44="Muy Alta",'Mapa final'!$AA$44="Menor"),CONCATENATE("R4C",'Mapa final'!$O$44),"")</f>
        <v/>
      </c>
      <c r="R9" s="49" t="str">
        <f>IF(AND('Mapa final'!$Y$45="Muy Alta",'Mapa final'!$AA$45="Menor"),CONCATENATE("R4C",'Mapa final'!$O$45),"")</f>
        <v/>
      </c>
      <c r="S9" s="49" t="str">
        <f>IF(AND('Mapa final'!$Y$46="Muy Alta",'Mapa final'!$AA$46="Menor"),CONCATENATE("R4C",'Mapa final'!$O$46),"")</f>
        <v/>
      </c>
      <c r="T9" s="49" t="str">
        <f>IF(AND('Mapa final'!$Y$47="Muy Alta",'Mapa final'!$AA$47="Menor"),CONCATENATE("R4C",'Mapa final'!$O$47),"")</f>
        <v/>
      </c>
      <c r="U9" s="50" t="str">
        <f>IF(AND('Mapa final'!$Y$48="Muy Alta",'Mapa final'!$AA$48="Menor"),CONCATENATE("R4C",'Mapa final'!$O$48),"")</f>
        <v/>
      </c>
      <c r="V9" s="48" t="str">
        <f>IF(AND('Mapa final'!$Y$43="Muy Alta",'Mapa final'!$AA$43="Moderado"),CONCATENATE("R4C",'Mapa final'!$O$43),"")</f>
        <v/>
      </c>
      <c r="W9" s="49" t="str">
        <f>IF(AND('Mapa final'!$Y$44="Muy Alta",'Mapa final'!$AA$44="Moderado"),CONCATENATE("R4C",'Mapa final'!$O$44),"")</f>
        <v/>
      </c>
      <c r="X9" s="49" t="str">
        <f>IF(AND('Mapa final'!$Y$45="Muy Alta",'Mapa final'!$AA$45="Moderado"),CONCATENATE("R4C",'Mapa final'!$O$45),"")</f>
        <v/>
      </c>
      <c r="Y9" s="49" t="str">
        <f>IF(AND('Mapa final'!$Y$46="Muy Alta",'Mapa final'!$AA$46="Moderado"),CONCATENATE("R4C",'Mapa final'!$O$46),"")</f>
        <v/>
      </c>
      <c r="Z9" s="49" t="str">
        <f>IF(AND('Mapa final'!$Y$47="Muy Alta",'Mapa final'!$AA$47="Moderado"),CONCATENATE("R4C",'Mapa final'!$O$47),"")</f>
        <v/>
      </c>
      <c r="AA9" s="50" t="str">
        <f>IF(AND('Mapa final'!$Y$48="Muy Alta",'Mapa final'!$AA$48="Moderado"),CONCATENATE("R4C",'Mapa final'!$O$48),"")</f>
        <v/>
      </c>
      <c r="AB9" s="48" t="str">
        <f>IF(AND('Mapa final'!$Y$43="Muy Alta",'Mapa final'!$AA$43="Mayor"),CONCATENATE("R4C",'Mapa final'!$O$43),"")</f>
        <v/>
      </c>
      <c r="AC9" s="49" t="str">
        <f>IF(AND('Mapa final'!$Y$44="Muy Alta",'Mapa final'!$AA$44="Mayor"),CONCATENATE("R4C",'Mapa final'!$O$44),"")</f>
        <v/>
      </c>
      <c r="AD9" s="49" t="str">
        <f>IF(AND('Mapa final'!$Y$45="Muy Alta",'Mapa final'!$AA$45="Mayor"),CONCATENATE("R4C",'Mapa final'!$O$45),"")</f>
        <v/>
      </c>
      <c r="AE9" s="49" t="str">
        <f>IF(AND('Mapa final'!$Y$46="Muy Alta",'Mapa final'!$AA$46="Mayor"),CONCATENATE("R4C",'Mapa final'!$O$46),"")</f>
        <v/>
      </c>
      <c r="AF9" s="49" t="str">
        <f>IF(AND('Mapa final'!$Y$47="Muy Alta",'Mapa final'!$AA$47="Mayor"),CONCATENATE("R4C",'Mapa final'!$O$47),"")</f>
        <v/>
      </c>
      <c r="AG9" s="50" t="str">
        <f>IF(AND('Mapa final'!$Y$48="Muy Alta",'Mapa final'!$AA$48="Mayor"),CONCATENATE("R4C",'Mapa final'!$O$48),"")</f>
        <v/>
      </c>
      <c r="AH9" s="51" t="str">
        <f>IF(AND('Mapa final'!$Y$43="Muy Alta",'Mapa final'!$AA$43="Catastrófico"),CONCATENATE("R4C",'Mapa final'!$O$43),"")</f>
        <v/>
      </c>
      <c r="AI9" s="52" t="str">
        <f>IF(AND('Mapa final'!$Y$44="Muy Alta",'Mapa final'!$AA$44="Catastrófico"),CONCATENATE("R4C",'Mapa final'!$O$44),"")</f>
        <v/>
      </c>
      <c r="AJ9" s="52" t="str">
        <f>IF(AND('Mapa final'!$Y$45="Muy Alta",'Mapa final'!$AA$45="Catastrófico"),CONCATENATE("R4C",'Mapa final'!$O$45),"")</f>
        <v/>
      </c>
      <c r="AK9" s="52" t="str">
        <f>IF(AND('Mapa final'!$Y$46="Muy Alta",'Mapa final'!$AA$46="Catastrófico"),CONCATENATE("R4C",'Mapa final'!$O$46),"")</f>
        <v/>
      </c>
      <c r="AL9" s="52" t="str">
        <f>IF(AND('Mapa final'!$Y$47="Muy Alta",'Mapa final'!$AA$47="Catastrófico"),CONCATENATE("R4C",'Mapa final'!$O$47),"")</f>
        <v/>
      </c>
      <c r="AM9" s="53" t="str">
        <f>IF(AND('Mapa final'!$Y$48="Muy Alta",'Mapa final'!$AA$48="Catastrófico"),CONCATENATE("R4C",'Mapa final'!$O$48),"")</f>
        <v/>
      </c>
      <c r="AN9" s="79"/>
      <c r="AO9" s="468"/>
      <c r="AP9" s="469"/>
      <c r="AQ9" s="469"/>
      <c r="AR9" s="469"/>
      <c r="AS9" s="469"/>
      <c r="AT9" s="470"/>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row>
    <row r="10" spans="1:91" ht="15" customHeight="1" x14ac:dyDescent="0.25">
      <c r="A10" s="79"/>
      <c r="B10" s="407"/>
      <c r="C10" s="407"/>
      <c r="D10" s="408"/>
      <c r="E10" s="448"/>
      <c r="F10" s="449"/>
      <c r="G10" s="449"/>
      <c r="H10" s="449"/>
      <c r="I10" s="450"/>
      <c r="J10" s="48" t="str">
        <f>IF(AND('Mapa final'!$Y$49="Muy Alta",'Mapa final'!$AA$49="Leve"),CONCATENATE("R5C",'Mapa final'!$O$49),"")</f>
        <v/>
      </c>
      <c r="K10" s="49" t="str">
        <f>IF(AND('Mapa final'!$Y$50="Muy Alta",'Mapa final'!$AA$50="Leve"),CONCATENATE("R5C",'Mapa final'!$O$50),"")</f>
        <v/>
      </c>
      <c r="L10" s="49" t="str">
        <f>IF(AND('Mapa final'!$Y$51="Muy Alta",'Mapa final'!$AA$51="Leve"),CONCATENATE("R5C",'Mapa final'!$O$51),"")</f>
        <v/>
      </c>
      <c r="M10" s="49" t="str">
        <f>IF(AND('Mapa final'!$Y$52="Muy Alta",'Mapa final'!$AA$52="Leve"),CONCATENATE("R5C",'Mapa final'!$O$52),"")</f>
        <v/>
      </c>
      <c r="N10" s="49" t="str">
        <f>IF(AND('Mapa final'!$Y$53="Muy Alta",'Mapa final'!$AA$53="Leve"),CONCATENATE("R5C",'Mapa final'!$O$53),"")</f>
        <v/>
      </c>
      <c r="O10" s="50" t="e">
        <f>IF(AND('Mapa final'!#REF!="Muy Alta",'Mapa final'!#REF!="Leve"),CONCATENATE("R5C",'Mapa final'!#REF!),"")</f>
        <v>#REF!</v>
      </c>
      <c r="P10" s="48" t="str">
        <f>IF(AND('Mapa final'!$Y$49="Muy Alta",'Mapa final'!$AA$49="Menor"),CONCATENATE("R5C",'Mapa final'!$O$49),"")</f>
        <v/>
      </c>
      <c r="Q10" s="49" t="str">
        <f>IF(AND('Mapa final'!$Y$50="Muy Alta",'Mapa final'!$AA$50="Menor"),CONCATENATE("R5C",'Mapa final'!$O$50),"")</f>
        <v/>
      </c>
      <c r="R10" s="49" t="str">
        <f>IF(AND('Mapa final'!$Y$51="Muy Alta",'Mapa final'!$AA$51="Menor"),CONCATENATE("R5C",'Mapa final'!$O$51),"")</f>
        <v/>
      </c>
      <c r="S10" s="49" t="str">
        <f>IF(AND('Mapa final'!$Y$52="Muy Alta",'Mapa final'!$AA$52="Menor"),CONCATENATE("R5C",'Mapa final'!$O$52),"")</f>
        <v/>
      </c>
      <c r="T10" s="49" t="str">
        <f>IF(AND('Mapa final'!$Y$53="Muy Alta",'Mapa final'!$AA$53="Menor"),CONCATENATE("R5C",'Mapa final'!$O$53),"")</f>
        <v/>
      </c>
      <c r="U10" s="50" t="e">
        <f>IF(AND('Mapa final'!#REF!="Muy Alta",'Mapa final'!#REF!="Menor"),CONCATENATE("R5C",'Mapa final'!#REF!),"")</f>
        <v>#REF!</v>
      </c>
      <c r="V10" s="48" t="str">
        <f>IF(AND('Mapa final'!$Y$49="Muy Alta",'Mapa final'!$AA$49="Moderado"),CONCATENATE("R5C",'Mapa final'!$O$49),"")</f>
        <v/>
      </c>
      <c r="W10" s="49" t="str">
        <f>IF(AND('Mapa final'!$Y$50="Muy Alta",'Mapa final'!$AA$50="Moderado"),CONCATENATE("R5C",'Mapa final'!$O$50),"")</f>
        <v/>
      </c>
      <c r="X10" s="49" t="str">
        <f>IF(AND('Mapa final'!$Y$51="Muy Alta",'Mapa final'!$AA$51="Moderado"),CONCATENATE("R5C",'Mapa final'!$O$51),"")</f>
        <v/>
      </c>
      <c r="Y10" s="49" t="str">
        <f>IF(AND('Mapa final'!$Y$52="Muy Alta",'Mapa final'!$AA$52="Moderado"),CONCATENATE("R5C",'Mapa final'!$O$52),"")</f>
        <v/>
      </c>
      <c r="Z10" s="49" t="str">
        <f>IF(AND('Mapa final'!$Y$53="Muy Alta",'Mapa final'!$AA$53="Moderado"),CONCATENATE("R5C",'Mapa final'!$O$53),"")</f>
        <v/>
      </c>
      <c r="AA10" s="50" t="e">
        <f>IF(AND('Mapa final'!#REF!="Muy Alta",'Mapa final'!#REF!="Moderado"),CONCATENATE("R5C",'Mapa final'!#REF!),"")</f>
        <v>#REF!</v>
      </c>
      <c r="AB10" s="48" t="str">
        <f>IF(AND('Mapa final'!$Y$49="Muy Alta",'Mapa final'!$AA$49="Mayor"),CONCATENATE("R5C",'Mapa final'!$O$49),"")</f>
        <v/>
      </c>
      <c r="AC10" s="49" t="str">
        <f>IF(AND('Mapa final'!$Y$50="Muy Alta",'Mapa final'!$AA$50="Mayor"),CONCATENATE("R5C",'Mapa final'!$O$50),"")</f>
        <v/>
      </c>
      <c r="AD10" s="49" t="str">
        <f>IF(AND('Mapa final'!$Y$51="Muy Alta",'Mapa final'!$AA$51="Mayor"),CONCATENATE("R5C",'Mapa final'!$O$51),"")</f>
        <v/>
      </c>
      <c r="AE10" s="49" t="str">
        <f>IF(AND('Mapa final'!$Y$52="Muy Alta",'Mapa final'!$AA$52="Mayor"),CONCATENATE("R5C",'Mapa final'!$O$52),"")</f>
        <v/>
      </c>
      <c r="AF10" s="49" t="str">
        <f>IF(AND('Mapa final'!$Y$53="Muy Alta",'Mapa final'!$AA$53="Mayor"),CONCATENATE("R5C",'Mapa final'!$O$53),"")</f>
        <v/>
      </c>
      <c r="AG10" s="50" t="e">
        <f>IF(AND('Mapa final'!#REF!="Muy Alta",'Mapa final'!#REF!="Mayor"),CONCATENATE("R5C",'Mapa final'!#REF!),"")</f>
        <v>#REF!</v>
      </c>
      <c r="AH10" s="51" t="str">
        <f>IF(AND('Mapa final'!$Y$49="Muy Alta",'Mapa final'!$AA$49="Catastrófico"),CONCATENATE("R5C",'Mapa final'!$O$49),"")</f>
        <v/>
      </c>
      <c r="AI10" s="52" t="str">
        <f>IF(AND('Mapa final'!$Y$50="Muy Alta",'Mapa final'!$AA$50="Catastrófico"),CONCATENATE("R5C",'Mapa final'!$O$50),"")</f>
        <v/>
      </c>
      <c r="AJ10" s="52" t="str">
        <f>IF(AND('Mapa final'!$Y$51="Muy Alta",'Mapa final'!$AA$51="Catastrófico"),CONCATENATE("R5C",'Mapa final'!$O$51),"")</f>
        <v/>
      </c>
      <c r="AK10" s="52" t="str">
        <f>IF(AND('Mapa final'!$Y$52="Muy Alta",'Mapa final'!$AA$52="Catastrófico"),CONCATENATE("R5C",'Mapa final'!$O$52),"")</f>
        <v/>
      </c>
      <c r="AL10" s="52" t="str">
        <f>IF(AND('Mapa final'!$Y$53="Muy Alta",'Mapa final'!$AA$53="Catastrófico"),CONCATENATE("R5C",'Mapa final'!$O$53),"")</f>
        <v/>
      </c>
      <c r="AM10" s="53" t="e">
        <f>IF(AND('Mapa final'!#REF!="Muy Alta",'Mapa final'!#REF!="Catastrófico"),CONCATENATE("R5C",'Mapa final'!#REF!),"")</f>
        <v>#REF!</v>
      </c>
      <c r="AN10" s="79"/>
      <c r="AO10" s="468"/>
      <c r="AP10" s="469"/>
      <c r="AQ10" s="469"/>
      <c r="AR10" s="469"/>
      <c r="AS10" s="469"/>
      <c r="AT10" s="470"/>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row>
    <row r="11" spans="1:91" ht="15" customHeight="1" x14ac:dyDescent="0.25">
      <c r="A11" s="79"/>
      <c r="B11" s="407"/>
      <c r="C11" s="407"/>
      <c r="D11" s="408"/>
      <c r="E11" s="448"/>
      <c r="F11" s="449"/>
      <c r="G11" s="449"/>
      <c r="H11" s="449"/>
      <c r="I11" s="450"/>
      <c r="J11" s="48" t="str">
        <f>IF(AND('Mapa final'!$Y$54="Muy Alta",'Mapa final'!$AA$54="Leve"),CONCATENATE("R6C",'Mapa final'!$O$54),"")</f>
        <v/>
      </c>
      <c r="K11" s="49" t="str">
        <f>IF(AND('Mapa final'!$Y$55="Muy Alta",'Mapa final'!$AA$55="Leve"),CONCATENATE("R6C",'Mapa final'!$O$55),"")</f>
        <v/>
      </c>
      <c r="L11" s="49" t="str">
        <f>IF(AND('Mapa final'!$Y$56="Muy Alta",'Mapa final'!$AA$56="Leve"),CONCATENATE("R6C",'Mapa final'!$O$56),"")</f>
        <v/>
      </c>
      <c r="M11" s="49" t="str">
        <f>IF(AND('Mapa final'!$Y$57="Muy Alta",'Mapa final'!$AA$57="Leve"),CONCATENATE("R6C",'Mapa final'!$O$57),"")</f>
        <v/>
      </c>
      <c r="N11" s="49" t="e">
        <f>IF(AND('Mapa final'!#REF!="Muy Alta",'Mapa final'!#REF!="Leve"),CONCATENATE("R6C",'Mapa final'!#REF!),"")</f>
        <v>#REF!</v>
      </c>
      <c r="O11" s="50" t="e">
        <f>IF(AND('Mapa final'!#REF!="Muy Alta",'Mapa final'!#REF!="Leve"),CONCATENATE("R6C",'Mapa final'!#REF!),"")</f>
        <v>#REF!</v>
      </c>
      <c r="P11" s="48" t="str">
        <f>IF(AND('Mapa final'!$Y$54="Muy Alta",'Mapa final'!$AA$54="Menor"),CONCATENATE("R6C",'Mapa final'!$O$54),"")</f>
        <v/>
      </c>
      <c r="Q11" s="49" t="str">
        <f>IF(AND('Mapa final'!$Y$55="Muy Alta",'Mapa final'!$AA$55="Menor"),CONCATENATE("R6C",'Mapa final'!$O$55),"")</f>
        <v/>
      </c>
      <c r="R11" s="49" t="str">
        <f>IF(AND('Mapa final'!$Y$56="Muy Alta",'Mapa final'!$AA$56="Menor"),CONCATENATE("R6C",'Mapa final'!$O$56),"")</f>
        <v/>
      </c>
      <c r="S11" s="49" t="str">
        <f>IF(AND('Mapa final'!$Y$57="Muy Alta",'Mapa final'!$AA$57="Menor"),CONCATENATE("R6C",'Mapa final'!$O$57),"")</f>
        <v/>
      </c>
      <c r="T11" s="49" t="e">
        <f>IF(AND('Mapa final'!#REF!="Muy Alta",'Mapa final'!#REF!="Menor"),CONCATENATE("R6C",'Mapa final'!#REF!),"")</f>
        <v>#REF!</v>
      </c>
      <c r="U11" s="50" t="e">
        <f>IF(AND('Mapa final'!#REF!="Muy Alta",'Mapa final'!#REF!="Menor"),CONCATENATE("R6C",'Mapa final'!#REF!),"")</f>
        <v>#REF!</v>
      </c>
      <c r="V11" s="48" t="str">
        <f>IF(AND('Mapa final'!$Y$54="Muy Alta",'Mapa final'!$AA$54="Moderado"),CONCATENATE("R6C",'Mapa final'!$O$54),"")</f>
        <v/>
      </c>
      <c r="W11" s="49" t="str">
        <f>IF(AND('Mapa final'!$Y$55="Muy Alta",'Mapa final'!$AA$55="Moderado"),CONCATENATE("R6C",'Mapa final'!$O$55),"")</f>
        <v/>
      </c>
      <c r="X11" s="49" t="str">
        <f>IF(AND('Mapa final'!$Y$56="Muy Alta",'Mapa final'!$AA$56="Moderado"),CONCATENATE("R6C",'Mapa final'!$O$56),"")</f>
        <v/>
      </c>
      <c r="Y11" s="49" t="str">
        <f>IF(AND('Mapa final'!$Y$57="Muy Alta",'Mapa final'!$AA$57="Moderado"),CONCATENATE("R6C",'Mapa final'!$O$57),"")</f>
        <v/>
      </c>
      <c r="Z11" s="49" t="e">
        <f>IF(AND('Mapa final'!#REF!="Muy Alta",'Mapa final'!#REF!="Moderado"),CONCATENATE("R6C",'Mapa final'!#REF!),"")</f>
        <v>#REF!</v>
      </c>
      <c r="AA11" s="50" t="e">
        <f>IF(AND('Mapa final'!#REF!="Muy Alta",'Mapa final'!#REF!="Moderado"),CONCATENATE("R6C",'Mapa final'!#REF!),"")</f>
        <v>#REF!</v>
      </c>
      <c r="AB11" s="48" t="str">
        <f>IF(AND('Mapa final'!$Y$54="Muy Alta",'Mapa final'!$AA$54="Mayor"),CONCATENATE("R6C",'Mapa final'!$O$54),"")</f>
        <v/>
      </c>
      <c r="AC11" s="49" t="str">
        <f>IF(AND('Mapa final'!$Y$55="Muy Alta",'Mapa final'!$AA$55="Mayor"),CONCATENATE("R6C",'Mapa final'!$O$55),"")</f>
        <v/>
      </c>
      <c r="AD11" s="49" t="str">
        <f>IF(AND('Mapa final'!$Y$56="Muy Alta",'Mapa final'!$AA$56="Mayor"),CONCATENATE("R6C",'Mapa final'!$O$56),"")</f>
        <v/>
      </c>
      <c r="AE11" s="49" t="str">
        <f>IF(AND('Mapa final'!$Y$57="Muy Alta",'Mapa final'!$AA$57="Mayor"),CONCATENATE("R6C",'Mapa final'!$O$57),"")</f>
        <v/>
      </c>
      <c r="AF11" s="49" t="e">
        <f>IF(AND('Mapa final'!#REF!="Muy Alta",'Mapa final'!#REF!="Mayor"),CONCATENATE("R6C",'Mapa final'!#REF!),"")</f>
        <v>#REF!</v>
      </c>
      <c r="AG11" s="50" t="e">
        <f>IF(AND('Mapa final'!#REF!="Muy Alta",'Mapa final'!#REF!="Mayor"),CONCATENATE("R6C",'Mapa final'!#REF!),"")</f>
        <v>#REF!</v>
      </c>
      <c r="AH11" s="51" t="str">
        <f>IF(AND('Mapa final'!$Y$54="Muy Alta",'Mapa final'!$AA$54="Catastrófico"),CONCATENATE("R6C",'Mapa final'!$O$54),"")</f>
        <v/>
      </c>
      <c r="AI11" s="52" t="str">
        <f>IF(AND('Mapa final'!$Y$55="Muy Alta",'Mapa final'!$AA$55="Catastrófico"),CONCATENATE("R6C",'Mapa final'!$O$55),"")</f>
        <v/>
      </c>
      <c r="AJ11" s="52" t="str">
        <f>IF(AND('Mapa final'!$Y$56="Muy Alta",'Mapa final'!$AA$56="Catastrófico"),CONCATENATE("R6C",'Mapa final'!$O$56),"")</f>
        <v/>
      </c>
      <c r="AK11" s="52" t="str">
        <f>IF(AND('Mapa final'!$Y$57="Muy Alta",'Mapa final'!$AA$57="Catastrófico"),CONCATENATE("R6C",'Mapa final'!$O$57),"")</f>
        <v/>
      </c>
      <c r="AL11" s="52" t="e">
        <f>IF(AND('Mapa final'!#REF!="Muy Alta",'Mapa final'!#REF!="Catastrófico"),CONCATENATE("R6C",'Mapa final'!#REF!),"")</f>
        <v>#REF!</v>
      </c>
      <c r="AM11" s="53" t="e">
        <f>IF(AND('Mapa final'!#REF!="Muy Alta",'Mapa final'!#REF!="Catastrófico"),CONCATENATE("R6C",'Mapa final'!#REF!),"")</f>
        <v>#REF!</v>
      </c>
      <c r="AN11" s="79"/>
      <c r="AO11" s="468"/>
      <c r="AP11" s="469"/>
      <c r="AQ11" s="469"/>
      <c r="AR11" s="469"/>
      <c r="AS11" s="469"/>
      <c r="AT11" s="470"/>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row>
    <row r="12" spans="1:91" ht="15" customHeight="1" x14ac:dyDescent="0.25">
      <c r="A12" s="79"/>
      <c r="B12" s="407"/>
      <c r="C12" s="407"/>
      <c r="D12" s="408"/>
      <c r="E12" s="448"/>
      <c r="F12" s="449"/>
      <c r="G12" s="449"/>
      <c r="H12" s="449"/>
      <c r="I12" s="450"/>
      <c r="J12" s="48" t="e">
        <f>IF(AND('Mapa final'!#REF!="Muy Alta",'Mapa final'!#REF!="Leve"),CONCATENATE("R7C",'Mapa final'!#REF!),"")</f>
        <v>#REF!</v>
      </c>
      <c r="K12" s="49" t="e">
        <f>IF(AND('Mapa final'!#REF!="Muy Alta",'Mapa final'!#REF!="Leve"),CONCATENATE("R7C",'Mapa final'!#REF!),"")</f>
        <v>#REF!</v>
      </c>
      <c r="L12" s="49" t="e">
        <f>IF(AND('Mapa final'!#REF!="Muy Alta",'Mapa final'!#REF!="Leve"),CONCATENATE("R7C",'Mapa final'!#REF!),"")</f>
        <v>#REF!</v>
      </c>
      <c r="M12" s="49" t="e">
        <f>IF(AND('Mapa final'!#REF!="Muy Alta",'Mapa final'!#REF!="Leve"),CONCATENATE("R7C",'Mapa final'!#REF!),"")</f>
        <v>#REF!</v>
      </c>
      <c r="N12" s="49" t="e">
        <f>IF(AND('Mapa final'!#REF!="Muy Alta",'Mapa final'!#REF!="Leve"),CONCATENATE("R7C",'Mapa final'!#REF!),"")</f>
        <v>#REF!</v>
      </c>
      <c r="O12" s="50" t="e">
        <f>IF(AND('Mapa final'!#REF!="Muy Alta",'Mapa final'!#REF!="Leve"),CONCATENATE("R7C",'Mapa final'!#REF!),"")</f>
        <v>#REF!</v>
      </c>
      <c r="P12" s="48" t="e">
        <f>IF(AND('Mapa final'!#REF!="Muy Alta",'Mapa final'!#REF!="Menor"),CONCATENATE("R7C",'Mapa final'!#REF!),"")</f>
        <v>#REF!</v>
      </c>
      <c r="Q12" s="49" t="e">
        <f>IF(AND('Mapa final'!#REF!="Muy Alta",'Mapa final'!#REF!="Menor"),CONCATENATE("R7C",'Mapa final'!#REF!),"")</f>
        <v>#REF!</v>
      </c>
      <c r="R12" s="49" t="e">
        <f>IF(AND('Mapa final'!#REF!="Muy Alta",'Mapa final'!#REF!="Menor"),CONCATENATE("R7C",'Mapa final'!#REF!),"")</f>
        <v>#REF!</v>
      </c>
      <c r="S12" s="49" t="e">
        <f>IF(AND('Mapa final'!#REF!="Muy Alta",'Mapa final'!#REF!="Menor"),CONCATENATE("R7C",'Mapa final'!#REF!),"")</f>
        <v>#REF!</v>
      </c>
      <c r="T12" s="49" t="e">
        <f>IF(AND('Mapa final'!#REF!="Muy Alta",'Mapa final'!#REF!="Menor"),CONCATENATE("R7C",'Mapa final'!#REF!),"")</f>
        <v>#REF!</v>
      </c>
      <c r="U12" s="50" t="e">
        <f>IF(AND('Mapa final'!#REF!="Muy Alta",'Mapa final'!#REF!="Menor"),CONCATENATE("R7C",'Mapa final'!#REF!),"")</f>
        <v>#REF!</v>
      </c>
      <c r="V12" s="48" t="e">
        <f>IF(AND('Mapa final'!#REF!="Muy Alta",'Mapa final'!#REF!="Moderado"),CONCATENATE("R7C",'Mapa final'!#REF!),"")</f>
        <v>#REF!</v>
      </c>
      <c r="W12" s="49" t="e">
        <f>IF(AND('Mapa final'!#REF!="Muy Alta",'Mapa final'!#REF!="Moderado"),CONCATENATE("R7C",'Mapa final'!#REF!),"")</f>
        <v>#REF!</v>
      </c>
      <c r="X12" s="49" t="e">
        <f>IF(AND('Mapa final'!#REF!="Muy Alta",'Mapa final'!#REF!="Moderado"),CONCATENATE("R7C",'Mapa final'!#REF!),"")</f>
        <v>#REF!</v>
      </c>
      <c r="Y12" s="49" t="e">
        <f>IF(AND('Mapa final'!#REF!="Muy Alta",'Mapa final'!#REF!="Moderado"),CONCATENATE("R7C",'Mapa final'!#REF!),"")</f>
        <v>#REF!</v>
      </c>
      <c r="Z12" s="49" t="e">
        <f>IF(AND('Mapa final'!#REF!="Muy Alta",'Mapa final'!#REF!="Moderado"),CONCATENATE("R7C",'Mapa final'!#REF!),"")</f>
        <v>#REF!</v>
      </c>
      <c r="AA12" s="50" t="e">
        <f>IF(AND('Mapa final'!#REF!="Muy Alta",'Mapa final'!#REF!="Moderado"),CONCATENATE("R7C",'Mapa final'!#REF!),"")</f>
        <v>#REF!</v>
      </c>
      <c r="AB12" s="48" t="e">
        <f>IF(AND('Mapa final'!#REF!="Muy Alta",'Mapa final'!#REF!="Mayor"),CONCATENATE("R7C",'Mapa final'!#REF!),"")</f>
        <v>#REF!</v>
      </c>
      <c r="AC12" s="49" t="e">
        <f>IF(AND('Mapa final'!#REF!="Muy Alta",'Mapa final'!#REF!="Mayor"),CONCATENATE("R7C",'Mapa final'!#REF!),"")</f>
        <v>#REF!</v>
      </c>
      <c r="AD12" s="49" t="e">
        <f>IF(AND('Mapa final'!#REF!="Muy Alta",'Mapa final'!#REF!="Mayor"),CONCATENATE("R7C",'Mapa final'!#REF!),"")</f>
        <v>#REF!</v>
      </c>
      <c r="AE12" s="49" t="e">
        <f>IF(AND('Mapa final'!#REF!="Muy Alta",'Mapa final'!#REF!="Mayor"),CONCATENATE("R7C",'Mapa final'!#REF!),"")</f>
        <v>#REF!</v>
      </c>
      <c r="AF12" s="49" t="e">
        <f>IF(AND('Mapa final'!#REF!="Muy Alta",'Mapa final'!#REF!="Mayor"),CONCATENATE("R7C",'Mapa final'!#REF!),"")</f>
        <v>#REF!</v>
      </c>
      <c r="AG12" s="50" t="e">
        <f>IF(AND('Mapa final'!#REF!="Muy Alta",'Mapa final'!#REF!="Mayor"),CONCATENATE("R7C",'Mapa final'!#REF!),"")</f>
        <v>#REF!</v>
      </c>
      <c r="AH12" s="51" t="e">
        <f>IF(AND('Mapa final'!#REF!="Muy Alta",'Mapa final'!#REF!="Catastrófico"),CONCATENATE("R7C",'Mapa final'!#REF!),"")</f>
        <v>#REF!</v>
      </c>
      <c r="AI12" s="52" t="e">
        <f>IF(AND('Mapa final'!#REF!="Muy Alta",'Mapa final'!#REF!="Catastrófico"),CONCATENATE("R7C",'Mapa final'!#REF!),"")</f>
        <v>#REF!</v>
      </c>
      <c r="AJ12" s="52" t="e">
        <f>IF(AND('Mapa final'!#REF!="Muy Alta",'Mapa final'!#REF!="Catastrófico"),CONCATENATE("R7C",'Mapa final'!#REF!),"")</f>
        <v>#REF!</v>
      </c>
      <c r="AK12" s="52" t="e">
        <f>IF(AND('Mapa final'!#REF!="Muy Alta",'Mapa final'!#REF!="Catastrófico"),CONCATENATE("R7C",'Mapa final'!#REF!),"")</f>
        <v>#REF!</v>
      </c>
      <c r="AL12" s="52" t="e">
        <f>IF(AND('Mapa final'!#REF!="Muy Alta",'Mapa final'!#REF!="Catastrófico"),CONCATENATE("R7C",'Mapa final'!#REF!),"")</f>
        <v>#REF!</v>
      </c>
      <c r="AM12" s="53" t="e">
        <f>IF(AND('Mapa final'!#REF!="Muy Alta",'Mapa final'!#REF!="Catastrófico"),CONCATENATE("R7C",'Mapa final'!#REF!),"")</f>
        <v>#REF!</v>
      </c>
      <c r="AN12" s="79"/>
      <c r="AO12" s="468"/>
      <c r="AP12" s="469"/>
      <c r="AQ12" s="469"/>
      <c r="AR12" s="469"/>
      <c r="AS12" s="469"/>
      <c r="AT12" s="470"/>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row>
    <row r="13" spans="1:91" ht="15" customHeight="1" x14ac:dyDescent="0.25">
      <c r="A13" s="79"/>
      <c r="B13" s="407"/>
      <c r="C13" s="407"/>
      <c r="D13" s="408"/>
      <c r="E13" s="448"/>
      <c r="F13" s="449"/>
      <c r="G13" s="449"/>
      <c r="H13" s="449"/>
      <c r="I13" s="450"/>
      <c r="J13" s="48" t="e">
        <f>IF(AND('Mapa final'!#REF!="Muy Alta",'Mapa final'!#REF!="Leve"),CONCATENATE("R8C",'Mapa final'!#REF!),"")</f>
        <v>#REF!</v>
      </c>
      <c r="K13" s="49" t="e">
        <f>IF(AND('Mapa final'!#REF!="Muy Alta",'Mapa final'!#REF!="Leve"),CONCATENATE("R8C",'Mapa final'!#REF!),"")</f>
        <v>#REF!</v>
      </c>
      <c r="L13" s="49" t="e">
        <f>IF(AND('Mapa final'!#REF!="Muy Alta",'Mapa final'!#REF!="Leve"),CONCATENATE("R8C",'Mapa final'!#REF!),"")</f>
        <v>#REF!</v>
      </c>
      <c r="M13" s="49" t="e">
        <f>IF(AND('Mapa final'!#REF!="Muy Alta",'Mapa final'!#REF!="Leve"),CONCATENATE("R8C",'Mapa final'!#REF!),"")</f>
        <v>#REF!</v>
      </c>
      <c r="N13" s="49" t="e">
        <f>IF(AND('Mapa final'!#REF!="Muy Alta",'Mapa final'!#REF!="Leve"),CONCATENATE("R8C",'Mapa final'!#REF!),"")</f>
        <v>#REF!</v>
      </c>
      <c r="O13" s="50" t="e">
        <f>IF(AND('Mapa final'!#REF!="Muy Alta",'Mapa final'!#REF!="Leve"),CONCATENATE("R8C",'Mapa final'!#REF!),"")</f>
        <v>#REF!</v>
      </c>
      <c r="P13" s="48" t="e">
        <f>IF(AND('Mapa final'!#REF!="Muy Alta",'Mapa final'!#REF!="Menor"),CONCATENATE("R8C",'Mapa final'!#REF!),"")</f>
        <v>#REF!</v>
      </c>
      <c r="Q13" s="49" t="e">
        <f>IF(AND('Mapa final'!#REF!="Muy Alta",'Mapa final'!#REF!="Menor"),CONCATENATE("R8C",'Mapa final'!#REF!),"")</f>
        <v>#REF!</v>
      </c>
      <c r="R13" s="49" t="e">
        <f>IF(AND('Mapa final'!#REF!="Muy Alta",'Mapa final'!#REF!="Menor"),CONCATENATE("R8C",'Mapa final'!#REF!),"")</f>
        <v>#REF!</v>
      </c>
      <c r="S13" s="49" t="e">
        <f>IF(AND('Mapa final'!#REF!="Muy Alta",'Mapa final'!#REF!="Menor"),CONCATENATE("R8C",'Mapa final'!#REF!),"")</f>
        <v>#REF!</v>
      </c>
      <c r="T13" s="49" t="e">
        <f>IF(AND('Mapa final'!#REF!="Muy Alta",'Mapa final'!#REF!="Menor"),CONCATENATE("R8C",'Mapa final'!#REF!),"")</f>
        <v>#REF!</v>
      </c>
      <c r="U13" s="50" t="e">
        <f>IF(AND('Mapa final'!#REF!="Muy Alta",'Mapa final'!#REF!="Menor"),CONCATENATE("R8C",'Mapa final'!#REF!),"")</f>
        <v>#REF!</v>
      </c>
      <c r="V13" s="48" t="e">
        <f>IF(AND('Mapa final'!#REF!="Muy Alta",'Mapa final'!#REF!="Moderado"),CONCATENATE("R8C",'Mapa final'!#REF!),"")</f>
        <v>#REF!</v>
      </c>
      <c r="W13" s="49" t="e">
        <f>IF(AND('Mapa final'!#REF!="Muy Alta",'Mapa final'!#REF!="Moderado"),CONCATENATE("R8C",'Mapa final'!#REF!),"")</f>
        <v>#REF!</v>
      </c>
      <c r="X13" s="49" t="e">
        <f>IF(AND('Mapa final'!#REF!="Muy Alta",'Mapa final'!#REF!="Moderado"),CONCATENATE("R8C",'Mapa final'!#REF!),"")</f>
        <v>#REF!</v>
      </c>
      <c r="Y13" s="49" t="e">
        <f>IF(AND('Mapa final'!#REF!="Muy Alta",'Mapa final'!#REF!="Moderado"),CONCATENATE("R8C",'Mapa final'!#REF!),"")</f>
        <v>#REF!</v>
      </c>
      <c r="Z13" s="49" t="e">
        <f>IF(AND('Mapa final'!#REF!="Muy Alta",'Mapa final'!#REF!="Moderado"),CONCATENATE("R8C",'Mapa final'!#REF!),"")</f>
        <v>#REF!</v>
      </c>
      <c r="AA13" s="50" t="e">
        <f>IF(AND('Mapa final'!#REF!="Muy Alta",'Mapa final'!#REF!="Moderado"),CONCATENATE("R8C",'Mapa final'!#REF!),"")</f>
        <v>#REF!</v>
      </c>
      <c r="AB13" s="48" t="e">
        <f>IF(AND('Mapa final'!#REF!="Muy Alta",'Mapa final'!#REF!="Mayor"),CONCATENATE("R8C",'Mapa final'!#REF!),"")</f>
        <v>#REF!</v>
      </c>
      <c r="AC13" s="49" t="e">
        <f>IF(AND('Mapa final'!#REF!="Muy Alta",'Mapa final'!#REF!="Mayor"),CONCATENATE("R8C",'Mapa final'!#REF!),"")</f>
        <v>#REF!</v>
      </c>
      <c r="AD13" s="49" t="e">
        <f>IF(AND('Mapa final'!#REF!="Muy Alta",'Mapa final'!#REF!="Mayor"),CONCATENATE("R8C",'Mapa final'!#REF!),"")</f>
        <v>#REF!</v>
      </c>
      <c r="AE13" s="49" t="e">
        <f>IF(AND('Mapa final'!#REF!="Muy Alta",'Mapa final'!#REF!="Mayor"),CONCATENATE("R8C",'Mapa final'!#REF!),"")</f>
        <v>#REF!</v>
      </c>
      <c r="AF13" s="49" t="e">
        <f>IF(AND('Mapa final'!#REF!="Muy Alta",'Mapa final'!#REF!="Mayor"),CONCATENATE("R8C",'Mapa final'!#REF!),"")</f>
        <v>#REF!</v>
      </c>
      <c r="AG13" s="50" t="e">
        <f>IF(AND('Mapa final'!#REF!="Muy Alta",'Mapa final'!#REF!="Mayor"),CONCATENATE("R8C",'Mapa final'!#REF!),"")</f>
        <v>#REF!</v>
      </c>
      <c r="AH13" s="51" t="e">
        <f>IF(AND('Mapa final'!#REF!="Muy Alta",'Mapa final'!#REF!="Catastrófico"),CONCATENATE("R8C",'Mapa final'!#REF!),"")</f>
        <v>#REF!</v>
      </c>
      <c r="AI13" s="52" t="e">
        <f>IF(AND('Mapa final'!#REF!="Muy Alta",'Mapa final'!#REF!="Catastrófico"),CONCATENATE("R8C",'Mapa final'!#REF!),"")</f>
        <v>#REF!</v>
      </c>
      <c r="AJ13" s="52" t="e">
        <f>IF(AND('Mapa final'!#REF!="Muy Alta",'Mapa final'!#REF!="Catastrófico"),CONCATENATE("R8C",'Mapa final'!#REF!),"")</f>
        <v>#REF!</v>
      </c>
      <c r="AK13" s="52" t="e">
        <f>IF(AND('Mapa final'!#REF!="Muy Alta",'Mapa final'!#REF!="Catastrófico"),CONCATENATE("R8C",'Mapa final'!#REF!),"")</f>
        <v>#REF!</v>
      </c>
      <c r="AL13" s="52" t="e">
        <f>IF(AND('Mapa final'!#REF!="Muy Alta",'Mapa final'!#REF!="Catastrófico"),CONCATENATE("R8C",'Mapa final'!#REF!),"")</f>
        <v>#REF!</v>
      </c>
      <c r="AM13" s="53" t="e">
        <f>IF(AND('Mapa final'!#REF!="Muy Alta",'Mapa final'!#REF!="Catastrófico"),CONCATENATE("R8C",'Mapa final'!#REF!),"")</f>
        <v>#REF!</v>
      </c>
      <c r="AN13" s="79"/>
      <c r="AO13" s="468"/>
      <c r="AP13" s="469"/>
      <c r="AQ13" s="469"/>
      <c r="AR13" s="469"/>
      <c r="AS13" s="469"/>
      <c r="AT13" s="470"/>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row>
    <row r="14" spans="1:91" ht="15" customHeight="1" x14ac:dyDescent="0.25">
      <c r="A14" s="79"/>
      <c r="B14" s="407"/>
      <c r="C14" s="407"/>
      <c r="D14" s="408"/>
      <c r="E14" s="448"/>
      <c r="F14" s="449"/>
      <c r="G14" s="449"/>
      <c r="H14" s="449"/>
      <c r="I14" s="450"/>
      <c r="J14" s="48" t="e">
        <f>IF(AND('Mapa final'!#REF!="Muy Alta",'Mapa final'!#REF!="Leve"),CONCATENATE("R9C",'Mapa final'!#REF!),"")</f>
        <v>#REF!</v>
      </c>
      <c r="K14" s="49" t="e">
        <f>IF(AND('Mapa final'!#REF!="Muy Alta",'Mapa final'!#REF!="Leve"),CONCATENATE("R9C",'Mapa final'!#REF!),"")</f>
        <v>#REF!</v>
      </c>
      <c r="L14" s="49" t="e">
        <f>IF(AND('Mapa final'!#REF!="Muy Alta",'Mapa final'!#REF!="Leve"),CONCATENATE("R9C",'Mapa final'!#REF!),"")</f>
        <v>#REF!</v>
      </c>
      <c r="M14" s="49" t="e">
        <f>IF(AND('Mapa final'!#REF!="Muy Alta",'Mapa final'!#REF!="Leve"),CONCATENATE("R9C",'Mapa final'!#REF!),"")</f>
        <v>#REF!</v>
      </c>
      <c r="N14" s="49" t="e">
        <f>IF(AND('Mapa final'!#REF!="Muy Alta",'Mapa final'!#REF!="Leve"),CONCATENATE("R9C",'Mapa final'!#REF!),"")</f>
        <v>#REF!</v>
      </c>
      <c r="O14" s="50" t="e">
        <f>IF(AND('Mapa final'!#REF!="Muy Alta",'Mapa final'!#REF!="Leve"),CONCATENATE("R9C",'Mapa final'!#REF!),"")</f>
        <v>#REF!</v>
      </c>
      <c r="P14" s="48" t="e">
        <f>IF(AND('Mapa final'!#REF!="Muy Alta",'Mapa final'!#REF!="Menor"),CONCATENATE("R9C",'Mapa final'!#REF!),"")</f>
        <v>#REF!</v>
      </c>
      <c r="Q14" s="49" t="e">
        <f>IF(AND('Mapa final'!#REF!="Muy Alta",'Mapa final'!#REF!="Menor"),CONCATENATE("R9C",'Mapa final'!#REF!),"")</f>
        <v>#REF!</v>
      </c>
      <c r="R14" s="49" t="e">
        <f>IF(AND('Mapa final'!#REF!="Muy Alta",'Mapa final'!#REF!="Menor"),CONCATENATE("R9C",'Mapa final'!#REF!),"")</f>
        <v>#REF!</v>
      </c>
      <c r="S14" s="49" t="e">
        <f>IF(AND('Mapa final'!#REF!="Muy Alta",'Mapa final'!#REF!="Menor"),CONCATENATE("R9C",'Mapa final'!#REF!),"")</f>
        <v>#REF!</v>
      </c>
      <c r="T14" s="49" t="e">
        <f>IF(AND('Mapa final'!#REF!="Muy Alta",'Mapa final'!#REF!="Menor"),CONCATENATE("R9C",'Mapa final'!#REF!),"")</f>
        <v>#REF!</v>
      </c>
      <c r="U14" s="50" t="e">
        <f>IF(AND('Mapa final'!#REF!="Muy Alta",'Mapa final'!#REF!="Menor"),CONCATENATE("R9C",'Mapa final'!#REF!),"")</f>
        <v>#REF!</v>
      </c>
      <c r="V14" s="48" t="e">
        <f>IF(AND('Mapa final'!#REF!="Muy Alta",'Mapa final'!#REF!="Moderado"),CONCATENATE("R9C",'Mapa final'!#REF!),"")</f>
        <v>#REF!</v>
      </c>
      <c r="W14" s="49" t="e">
        <f>IF(AND('Mapa final'!#REF!="Muy Alta",'Mapa final'!#REF!="Moderado"),CONCATENATE("R9C",'Mapa final'!#REF!),"")</f>
        <v>#REF!</v>
      </c>
      <c r="X14" s="49" t="e">
        <f>IF(AND('Mapa final'!#REF!="Muy Alta",'Mapa final'!#REF!="Moderado"),CONCATENATE("R9C",'Mapa final'!#REF!),"")</f>
        <v>#REF!</v>
      </c>
      <c r="Y14" s="49" t="e">
        <f>IF(AND('Mapa final'!#REF!="Muy Alta",'Mapa final'!#REF!="Moderado"),CONCATENATE("R9C",'Mapa final'!#REF!),"")</f>
        <v>#REF!</v>
      </c>
      <c r="Z14" s="49" t="e">
        <f>IF(AND('Mapa final'!#REF!="Muy Alta",'Mapa final'!#REF!="Moderado"),CONCATENATE("R9C",'Mapa final'!#REF!),"")</f>
        <v>#REF!</v>
      </c>
      <c r="AA14" s="50" t="e">
        <f>IF(AND('Mapa final'!#REF!="Muy Alta",'Mapa final'!#REF!="Moderado"),CONCATENATE("R9C",'Mapa final'!#REF!),"")</f>
        <v>#REF!</v>
      </c>
      <c r="AB14" s="48" t="e">
        <f>IF(AND('Mapa final'!#REF!="Muy Alta",'Mapa final'!#REF!="Mayor"),CONCATENATE("R9C",'Mapa final'!#REF!),"")</f>
        <v>#REF!</v>
      </c>
      <c r="AC14" s="49" t="e">
        <f>IF(AND('Mapa final'!#REF!="Muy Alta",'Mapa final'!#REF!="Mayor"),CONCATENATE("R9C",'Mapa final'!#REF!),"")</f>
        <v>#REF!</v>
      </c>
      <c r="AD14" s="49" t="e">
        <f>IF(AND('Mapa final'!#REF!="Muy Alta",'Mapa final'!#REF!="Mayor"),CONCATENATE("R9C",'Mapa final'!#REF!),"")</f>
        <v>#REF!</v>
      </c>
      <c r="AE14" s="49" t="e">
        <f>IF(AND('Mapa final'!#REF!="Muy Alta",'Mapa final'!#REF!="Mayor"),CONCATENATE("R9C",'Mapa final'!#REF!),"")</f>
        <v>#REF!</v>
      </c>
      <c r="AF14" s="49" t="e">
        <f>IF(AND('Mapa final'!#REF!="Muy Alta",'Mapa final'!#REF!="Mayor"),CONCATENATE("R9C",'Mapa final'!#REF!),"")</f>
        <v>#REF!</v>
      </c>
      <c r="AG14" s="50" t="e">
        <f>IF(AND('Mapa final'!#REF!="Muy Alta",'Mapa final'!#REF!="Mayor"),CONCATENATE("R9C",'Mapa final'!#REF!),"")</f>
        <v>#REF!</v>
      </c>
      <c r="AH14" s="51" t="e">
        <f>IF(AND('Mapa final'!#REF!="Muy Alta",'Mapa final'!#REF!="Catastrófico"),CONCATENATE("R9C",'Mapa final'!#REF!),"")</f>
        <v>#REF!</v>
      </c>
      <c r="AI14" s="52" t="e">
        <f>IF(AND('Mapa final'!#REF!="Muy Alta",'Mapa final'!#REF!="Catastrófico"),CONCATENATE("R9C",'Mapa final'!#REF!),"")</f>
        <v>#REF!</v>
      </c>
      <c r="AJ14" s="52" t="e">
        <f>IF(AND('Mapa final'!#REF!="Muy Alta",'Mapa final'!#REF!="Catastrófico"),CONCATENATE("R9C",'Mapa final'!#REF!),"")</f>
        <v>#REF!</v>
      </c>
      <c r="AK14" s="52" t="e">
        <f>IF(AND('Mapa final'!#REF!="Muy Alta",'Mapa final'!#REF!="Catastrófico"),CONCATENATE("R9C",'Mapa final'!#REF!),"")</f>
        <v>#REF!</v>
      </c>
      <c r="AL14" s="52" t="e">
        <f>IF(AND('Mapa final'!#REF!="Muy Alta",'Mapa final'!#REF!="Catastrófico"),CONCATENATE("R9C",'Mapa final'!#REF!),"")</f>
        <v>#REF!</v>
      </c>
      <c r="AM14" s="53" t="e">
        <f>IF(AND('Mapa final'!#REF!="Muy Alta",'Mapa final'!#REF!="Catastrófico"),CONCATENATE("R9C",'Mapa final'!#REF!),"")</f>
        <v>#REF!</v>
      </c>
      <c r="AN14" s="79"/>
      <c r="AO14" s="468"/>
      <c r="AP14" s="469"/>
      <c r="AQ14" s="469"/>
      <c r="AR14" s="469"/>
      <c r="AS14" s="469"/>
      <c r="AT14" s="470"/>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row>
    <row r="15" spans="1:91" ht="15.75" customHeight="1" thickBot="1" x14ac:dyDescent="0.3">
      <c r="A15" s="79"/>
      <c r="B15" s="407"/>
      <c r="C15" s="407"/>
      <c r="D15" s="408"/>
      <c r="E15" s="451"/>
      <c r="F15" s="452"/>
      <c r="G15" s="452"/>
      <c r="H15" s="452"/>
      <c r="I15" s="453"/>
      <c r="J15" s="54" t="e">
        <f>IF(AND('Mapa final'!#REF!="Muy Alta",'Mapa final'!#REF!="Leve"),CONCATENATE("R10C",'Mapa final'!#REF!),"")</f>
        <v>#REF!</v>
      </c>
      <c r="K15" s="55" t="e">
        <f>IF(AND('Mapa final'!#REF!="Muy Alta",'Mapa final'!#REF!="Leve"),CONCATENATE("R10C",'Mapa final'!#REF!),"")</f>
        <v>#REF!</v>
      </c>
      <c r="L15" s="55" t="e">
        <f>IF(AND('Mapa final'!#REF!="Muy Alta",'Mapa final'!#REF!="Leve"),CONCATENATE("R10C",'Mapa final'!#REF!),"")</f>
        <v>#REF!</v>
      </c>
      <c r="M15" s="55" t="e">
        <f>IF(AND('Mapa final'!#REF!="Muy Alta",'Mapa final'!#REF!="Leve"),CONCATENATE("R10C",'Mapa final'!#REF!),"")</f>
        <v>#REF!</v>
      </c>
      <c r="N15" s="55" t="e">
        <f>IF(AND('Mapa final'!#REF!="Muy Alta",'Mapa final'!#REF!="Leve"),CONCATENATE("R10C",'Mapa final'!#REF!),"")</f>
        <v>#REF!</v>
      </c>
      <c r="O15" s="56" t="e">
        <f>IF(AND('Mapa final'!#REF!="Muy Alta",'Mapa final'!#REF!="Leve"),CONCATENATE("R10C",'Mapa final'!#REF!),"")</f>
        <v>#REF!</v>
      </c>
      <c r="P15" s="48" t="e">
        <f>IF(AND('Mapa final'!#REF!="Muy Alta",'Mapa final'!#REF!="Menor"),CONCATENATE("R10C",'Mapa final'!#REF!),"")</f>
        <v>#REF!</v>
      </c>
      <c r="Q15" s="49" t="e">
        <f>IF(AND('Mapa final'!#REF!="Muy Alta",'Mapa final'!#REF!="Menor"),CONCATENATE("R10C",'Mapa final'!#REF!),"")</f>
        <v>#REF!</v>
      </c>
      <c r="R15" s="49" t="e">
        <f>IF(AND('Mapa final'!#REF!="Muy Alta",'Mapa final'!#REF!="Menor"),CONCATENATE("R10C",'Mapa final'!#REF!),"")</f>
        <v>#REF!</v>
      </c>
      <c r="S15" s="49" t="e">
        <f>IF(AND('Mapa final'!#REF!="Muy Alta",'Mapa final'!#REF!="Menor"),CONCATENATE("R10C",'Mapa final'!#REF!),"")</f>
        <v>#REF!</v>
      </c>
      <c r="T15" s="49" t="e">
        <f>IF(AND('Mapa final'!#REF!="Muy Alta",'Mapa final'!#REF!="Menor"),CONCATENATE("R10C",'Mapa final'!#REF!),"")</f>
        <v>#REF!</v>
      </c>
      <c r="U15" s="50" t="e">
        <f>IF(AND('Mapa final'!#REF!="Muy Alta",'Mapa final'!#REF!="Menor"),CONCATENATE("R10C",'Mapa final'!#REF!),"")</f>
        <v>#REF!</v>
      </c>
      <c r="V15" s="54" t="e">
        <f>IF(AND('Mapa final'!#REF!="Muy Alta",'Mapa final'!#REF!="Moderado"),CONCATENATE("R10C",'Mapa final'!#REF!),"")</f>
        <v>#REF!</v>
      </c>
      <c r="W15" s="55" t="e">
        <f>IF(AND('Mapa final'!#REF!="Muy Alta",'Mapa final'!#REF!="Moderado"),CONCATENATE("R10C",'Mapa final'!#REF!),"")</f>
        <v>#REF!</v>
      </c>
      <c r="X15" s="55" t="e">
        <f>IF(AND('Mapa final'!#REF!="Muy Alta",'Mapa final'!#REF!="Moderado"),CONCATENATE("R10C",'Mapa final'!#REF!),"")</f>
        <v>#REF!</v>
      </c>
      <c r="Y15" s="55" t="e">
        <f>IF(AND('Mapa final'!#REF!="Muy Alta",'Mapa final'!#REF!="Moderado"),CONCATENATE("R10C",'Mapa final'!#REF!),"")</f>
        <v>#REF!</v>
      </c>
      <c r="Z15" s="55" t="e">
        <f>IF(AND('Mapa final'!#REF!="Muy Alta",'Mapa final'!#REF!="Moderado"),CONCATENATE("R10C",'Mapa final'!#REF!),"")</f>
        <v>#REF!</v>
      </c>
      <c r="AA15" s="56" t="e">
        <f>IF(AND('Mapa final'!#REF!="Muy Alta",'Mapa final'!#REF!="Moderado"),CONCATENATE("R10C",'Mapa final'!#REF!),"")</f>
        <v>#REF!</v>
      </c>
      <c r="AB15" s="48" t="e">
        <f>IF(AND('Mapa final'!#REF!="Muy Alta",'Mapa final'!#REF!="Mayor"),CONCATENATE("R10C",'Mapa final'!#REF!),"")</f>
        <v>#REF!</v>
      </c>
      <c r="AC15" s="49" t="e">
        <f>IF(AND('Mapa final'!#REF!="Muy Alta",'Mapa final'!#REF!="Mayor"),CONCATENATE("R10C",'Mapa final'!#REF!),"")</f>
        <v>#REF!</v>
      </c>
      <c r="AD15" s="49" t="e">
        <f>IF(AND('Mapa final'!#REF!="Muy Alta",'Mapa final'!#REF!="Mayor"),CONCATENATE("R10C",'Mapa final'!#REF!),"")</f>
        <v>#REF!</v>
      </c>
      <c r="AE15" s="49" t="e">
        <f>IF(AND('Mapa final'!#REF!="Muy Alta",'Mapa final'!#REF!="Mayor"),CONCATENATE("R10C",'Mapa final'!#REF!),"")</f>
        <v>#REF!</v>
      </c>
      <c r="AF15" s="49" t="e">
        <f>IF(AND('Mapa final'!#REF!="Muy Alta",'Mapa final'!#REF!="Mayor"),CONCATENATE("R10C",'Mapa final'!#REF!),"")</f>
        <v>#REF!</v>
      </c>
      <c r="AG15" s="50" t="e">
        <f>IF(AND('Mapa final'!#REF!="Muy Alta",'Mapa final'!#REF!="Mayor"),CONCATENATE("R10C",'Mapa final'!#REF!),"")</f>
        <v>#REF!</v>
      </c>
      <c r="AH15" s="57" t="e">
        <f>IF(AND('Mapa final'!#REF!="Muy Alta",'Mapa final'!#REF!="Catastrófico"),CONCATENATE("R10C",'Mapa final'!#REF!),"")</f>
        <v>#REF!</v>
      </c>
      <c r="AI15" s="58" t="e">
        <f>IF(AND('Mapa final'!#REF!="Muy Alta",'Mapa final'!#REF!="Catastrófico"),CONCATENATE("R10C",'Mapa final'!#REF!),"")</f>
        <v>#REF!</v>
      </c>
      <c r="AJ15" s="58" t="e">
        <f>IF(AND('Mapa final'!#REF!="Muy Alta",'Mapa final'!#REF!="Catastrófico"),CONCATENATE("R10C",'Mapa final'!#REF!),"")</f>
        <v>#REF!</v>
      </c>
      <c r="AK15" s="58" t="e">
        <f>IF(AND('Mapa final'!#REF!="Muy Alta",'Mapa final'!#REF!="Catastrófico"),CONCATENATE("R10C",'Mapa final'!#REF!),"")</f>
        <v>#REF!</v>
      </c>
      <c r="AL15" s="58" t="e">
        <f>IF(AND('Mapa final'!#REF!="Muy Alta",'Mapa final'!#REF!="Catastrófico"),CONCATENATE("R10C",'Mapa final'!#REF!),"")</f>
        <v>#REF!</v>
      </c>
      <c r="AM15" s="59" t="e">
        <f>IF(AND('Mapa final'!#REF!="Muy Alta",'Mapa final'!#REF!="Catastrófico"),CONCATENATE("R10C",'Mapa final'!#REF!),"")</f>
        <v>#REF!</v>
      </c>
      <c r="AN15" s="79"/>
      <c r="AO15" s="471"/>
      <c r="AP15" s="472"/>
      <c r="AQ15" s="472"/>
      <c r="AR15" s="472"/>
      <c r="AS15" s="472"/>
      <c r="AT15" s="473"/>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row>
    <row r="16" spans="1:91" ht="15" customHeight="1" x14ac:dyDescent="0.25">
      <c r="A16" s="79"/>
      <c r="B16" s="407"/>
      <c r="C16" s="407"/>
      <c r="D16" s="408"/>
      <c r="E16" s="445" t="s">
        <v>115</v>
      </c>
      <c r="F16" s="446"/>
      <c r="G16" s="446"/>
      <c r="H16" s="446"/>
      <c r="I16" s="446"/>
      <c r="J16" s="60" t="e">
        <f>IF(AND('Mapa final'!#REF!="Alta",'Mapa final'!#REF!="Leve"),CONCATENATE("R1C",'Mapa final'!#REF!),"")</f>
        <v>#REF!</v>
      </c>
      <c r="K16" s="61" t="e">
        <f>IF(AND('Mapa final'!#REF!="Alta",'Mapa final'!#REF!="Leve"),CONCATENATE("R1C",'Mapa final'!#REF!),"")</f>
        <v>#REF!</v>
      </c>
      <c r="L16" s="61" t="e">
        <f>IF(AND('Mapa final'!#REF!="Alta",'Mapa final'!#REF!="Leve"),CONCATENATE("R1C",'Mapa final'!#REF!),"")</f>
        <v>#REF!</v>
      </c>
      <c r="M16" s="61" t="str">
        <f>IF(AND('Mapa final'!$Y$10="Alta",'Mapa final'!$AA$10="Leve"),CONCATENATE("R1C",'Mapa final'!$O$10),"")</f>
        <v/>
      </c>
      <c r="N16" s="61" t="str">
        <f>IF(AND('Mapa final'!$Y$14="Alta",'Mapa final'!$AA$14="Leve"),CONCATENATE("R1C",'Mapa final'!$O$14),"")</f>
        <v/>
      </c>
      <c r="O16" s="62" t="str">
        <f>IF(AND('Mapa final'!$Y$17="Alta",'Mapa final'!$AA$17="Leve"),CONCATENATE("R1C",'Mapa final'!$O$17),"")</f>
        <v/>
      </c>
      <c r="P16" s="60" t="e">
        <f>IF(AND('Mapa final'!#REF!="Alta",'Mapa final'!#REF!="Menor"),CONCATENATE("R1C",'Mapa final'!#REF!),"")</f>
        <v>#REF!</v>
      </c>
      <c r="Q16" s="61" t="e">
        <f>IF(AND('Mapa final'!#REF!="Alta",'Mapa final'!#REF!="Menor"),CONCATENATE("R1C",'Mapa final'!#REF!),"")</f>
        <v>#REF!</v>
      </c>
      <c r="R16" s="61" t="e">
        <f>IF(AND('Mapa final'!#REF!="Alta",'Mapa final'!#REF!="Menor"),CONCATENATE("R1C",'Mapa final'!#REF!),"")</f>
        <v>#REF!</v>
      </c>
      <c r="S16" s="61" t="str">
        <f>IF(AND('Mapa final'!$Y$10="Alta",'Mapa final'!$AA$10="Menor"),CONCATENATE("R1C",'Mapa final'!$O$10),"")</f>
        <v/>
      </c>
      <c r="T16" s="61" t="str">
        <f>IF(AND('Mapa final'!$Y$14="Alta",'Mapa final'!$AA$14="Menor"),CONCATENATE("R1C",'Mapa final'!$O$14),"")</f>
        <v/>
      </c>
      <c r="U16" s="62" t="str">
        <f>IF(AND('Mapa final'!$Y$17="Alta",'Mapa final'!$AA$17="Menor"),CONCATENATE("R1C",'Mapa final'!$O$17),"")</f>
        <v/>
      </c>
      <c r="V16" s="42" t="e">
        <f>IF(AND('Mapa final'!#REF!="Alta",'Mapa final'!#REF!="Moderado"),CONCATENATE("R1C",'Mapa final'!#REF!),"")</f>
        <v>#REF!</v>
      </c>
      <c r="W16" s="43" t="e">
        <f>IF(AND('Mapa final'!#REF!="Alta",'Mapa final'!#REF!="Moderado"),CONCATENATE("R1C",'Mapa final'!#REF!),"")</f>
        <v>#REF!</v>
      </c>
      <c r="X16" s="43" t="e">
        <f>IF(AND('Mapa final'!#REF!="Alta",'Mapa final'!#REF!="Moderado"),CONCATENATE("R1C",'Mapa final'!#REF!),"")</f>
        <v>#REF!</v>
      </c>
      <c r="Y16" s="43" t="str">
        <f>IF(AND('Mapa final'!$Y$10="Alta",'Mapa final'!$AA$10="Moderado"),CONCATENATE("R1C",'Mapa final'!$O$10),"")</f>
        <v/>
      </c>
      <c r="Z16" s="43" t="str">
        <f>IF(AND('Mapa final'!$Y$14="Alta",'Mapa final'!$AA$14="Moderado"),CONCATENATE("R1C",'Mapa final'!$O$14),"")</f>
        <v/>
      </c>
      <c r="AA16" s="44" t="str">
        <f>IF(AND('Mapa final'!$Y$17="Alta",'Mapa final'!$AA$17="Moderado"),CONCATENATE("R1C",'Mapa final'!$O$17),"")</f>
        <v/>
      </c>
      <c r="AB16" s="42" t="e">
        <f>IF(AND('Mapa final'!#REF!="Alta",'Mapa final'!#REF!="Mayor"),CONCATENATE("R1C",'Mapa final'!#REF!),"")</f>
        <v>#REF!</v>
      </c>
      <c r="AC16" s="43" t="e">
        <f>IF(AND('Mapa final'!#REF!="Alta",'Mapa final'!#REF!="Mayor"),CONCATENATE("R1C",'Mapa final'!#REF!),"")</f>
        <v>#REF!</v>
      </c>
      <c r="AD16" s="43" t="e">
        <f>IF(AND('Mapa final'!#REF!="Alta",'Mapa final'!#REF!="Mayor"),CONCATENATE("R1C",'Mapa final'!#REF!),"")</f>
        <v>#REF!</v>
      </c>
      <c r="AE16" s="43" t="str">
        <f>IF(AND('Mapa final'!$Y$10="Alta",'Mapa final'!$AA$10="Mayor"),CONCATENATE("R1C",'Mapa final'!$O$10),"")</f>
        <v/>
      </c>
      <c r="AF16" s="43" t="str">
        <f>IF(AND('Mapa final'!$Y$14="Alta",'Mapa final'!$AA$14="Mayor"),CONCATENATE("R1C",'Mapa final'!$O$14),"")</f>
        <v/>
      </c>
      <c r="AG16" s="44" t="str">
        <f>IF(AND('Mapa final'!$Y$17="Alta",'Mapa final'!$AA$17="Mayor"),CONCATENATE("R1C",'Mapa final'!$O$17),"")</f>
        <v/>
      </c>
      <c r="AH16" s="45" t="e">
        <f>IF(AND('Mapa final'!#REF!="Alta",'Mapa final'!#REF!="Catastrófico"),CONCATENATE("R1C",'Mapa final'!#REF!),"")</f>
        <v>#REF!</v>
      </c>
      <c r="AI16" s="46" t="e">
        <f>IF(AND('Mapa final'!#REF!="Alta",'Mapa final'!#REF!="Catastrófico"),CONCATENATE("R1C",'Mapa final'!#REF!),"")</f>
        <v>#REF!</v>
      </c>
      <c r="AJ16" s="46" t="e">
        <f>IF(AND('Mapa final'!#REF!="Alta",'Mapa final'!#REF!="Catastrófico"),CONCATENATE("R1C",'Mapa final'!#REF!),"")</f>
        <v>#REF!</v>
      </c>
      <c r="AK16" s="46" t="str">
        <f>IF(AND('Mapa final'!$Y$10="Alta",'Mapa final'!$AA$10="Catastrófico"),CONCATENATE("R1C",'Mapa final'!$O$10),"")</f>
        <v/>
      </c>
      <c r="AL16" s="46" t="str">
        <f>IF(AND('Mapa final'!$Y$14="Alta",'Mapa final'!$AA$14="Catastrófico"),CONCATENATE("R1C",'Mapa final'!$O$14),"")</f>
        <v/>
      </c>
      <c r="AM16" s="47" t="str">
        <f>IF(AND('Mapa final'!$Y$17="Alta",'Mapa final'!$AA$17="Catastrófico"),CONCATENATE("R1C",'Mapa final'!$O$17),"")</f>
        <v/>
      </c>
      <c r="AN16" s="79"/>
      <c r="AO16" s="455" t="s">
        <v>80</v>
      </c>
      <c r="AP16" s="456"/>
      <c r="AQ16" s="456"/>
      <c r="AR16" s="456"/>
      <c r="AS16" s="456"/>
      <c r="AT16" s="457"/>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row>
    <row r="17" spans="1:76" ht="15" customHeight="1" x14ac:dyDescent="0.25">
      <c r="A17" s="79"/>
      <c r="B17" s="407"/>
      <c r="C17" s="407"/>
      <c r="D17" s="408"/>
      <c r="E17" s="464"/>
      <c r="F17" s="449"/>
      <c r="G17" s="449"/>
      <c r="H17" s="449"/>
      <c r="I17" s="449"/>
      <c r="J17" s="63" t="str">
        <f>IF(AND('Mapa final'!$Y$19="Alta",'Mapa final'!$AA$19="Leve"),CONCATENATE("R2C",'Mapa final'!$O$19),"")</f>
        <v/>
      </c>
      <c r="K17" s="64" t="str">
        <f>IF(AND('Mapa final'!$Y$22="Alta",'Mapa final'!$AA$22="Leve"),CONCATENATE("R2C",'Mapa final'!$O$22),"")</f>
        <v/>
      </c>
      <c r="L17" s="64" t="str">
        <f>IF(AND('Mapa final'!$Y$25="Alta",'Mapa final'!$AA$25="Leve"),CONCATENATE("R2C",'Mapa final'!$O$25),"")</f>
        <v/>
      </c>
      <c r="M17" s="64" t="str">
        <f>IF(AND('Mapa final'!$Y$26="Alta",'Mapa final'!$AA$26="Leve"),CONCATENATE("R2C",'Mapa final'!$O$26),"")</f>
        <v/>
      </c>
      <c r="N17" s="64" t="str">
        <f>IF(AND('Mapa final'!$Y$27="Alta",'Mapa final'!$AA$27="Leve"),CONCATENATE("R2C",'Mapa final'!$O$27),"")</f>
        <v/>
      </c>
      <c r="O17" s="65" t="str">
        <f>IF(AND('Mapa final'!$Y$28="Alta",'Mapa final'!$AA$28="Leve"),CONCATENATE("R2C",'Mapa final'!$O$28),"")</f>
        <v/>
      </c>
      <c r="P17" s="63" t="str">
        <f>IF(AND('Mapa final'!$Y$19="Alta",'Mapa final'!$AA$19="Menor"),CONCATENATE("R2C",'Mapa final'!$O$19),"")</f>
        <v/>
      </c>
      <c r="Q17" s="64" t="str">
        <f>IF(AND('Mapa final'!$Y$22="Alta",'Mapa final'!$AA$22="Menor"),CONCATENATE("R2C",'Mapa final'!$O$22),"")</f>
        <v/>
      </c>
      <c r="R17" s="64" t="str">
        <f>IF(AND('Mapa final'!$Y$25="Alta",'Mapa final'!$AA$25="Menor"),CONCATENATE("R2C",'Mapa final'!$O$25),"")</f>
        <v/>
      </c>
      <c r="S17" s="64" t="str">
        <f>IF(AND('Mapa final'!$Y$26="Alta",'Mapa final'!$AA$26="Menor"),CONCATENATE("R2C",'Mapa final'!$O$26),"")</f>
        <v/>
      </c>
      <c r="T17" s="64" t="str">
        <f>IF(AND('Mapa final'!$Y$27="Alta",'Mapa final'!$AA$27="Menor"),CONCATENATE("R2C",'Mapa final'!$O$27),"")</f>
        <v/>
      </c>
      <c r="U17" s="65" t="str">
        <f>IF(AND('Mapa final'!$Y$28="Alta",'Mapa final'!$AA$28="Menor"),CONCATENATE("R2C",'Mapa final'!$O$28),"")</f>
        <v/>
      </c>
      <c r="V17" s="48" t="str">
        <f>IF(AND('Mapa final'!$Y$19="Alta",'Mapa final'!$AA$19="Moderado"),CONCATENATE("R2C",'Mapa final'!$O$19),"")</f>
        <v/>
      </c>
      <c r="W17" s="49" t="str">
        <f>IF(AND('Mapa final'!$Y$22="Alta",'Mapa final'!$AA$22="Moderado"),CONCATENATE("R2C",'Mapa final'!$O$22),"")</f>
        <v/>
      </c>
      <c r="X17" s="49" t="str">
        <f>IF(AND('Mapa final'!$Y$25="Alta",'Mapa final'!$AA$25="Moderado"),CONCATENATE("R2C",'Mapa final'!$O$25),"")</f>
        <v/>
      </c>
      <c r="Y17" s="49" t="str">
        <f>IF(AND('Mapa final'!$Y$26="Alta",'Mapa final'!$AA$26="Moderado"),CONCATENATE("R2C",'Mapa final'!$O$26),"")</f>
        <v/>
      </c>
      <c r="Z17" s="49" t="str">
        <f>IF(AND('Mapa final'!$Y$27="Alta",'Mapa final'!$AA$27="Moderado"),CONCATENATE("R2C",'Mapa final'!$O$27),"")</f>
        <v/>
      </c>
      <c r="AA17" s="50" t="str">
        <f>IF(AND('Mapa final'!$Y$28="Alta",'Mapa final'!$AA$28="Moderado"),CONCATENATE("R2C",'Mapa final'!$O$28),"")</f>
        <v/>
      </c>
      <c r="AB17" s="48" t="str">
        <f>IF(AND('Mapa final'!$Y$19="Alta",'Mapa final'!$AA$19="Mayor"),CONCATENATE("R2C",'Mapa final'!$O$19),"")</f>
        <v/>
      </c>
      <c r="AC17" s="49" t="str">
        <f>IF(AND('Mapa final'!$Y$22="Alta",'Mapa final'!$AA$22="Mayor"),CONCATENATE("R2C",'Mapa final'!$O$22),"")</f>
        <v/>
      </c>
      <c r="AD17" s="49" t="str">
        <f>IF(AND('Mapa final'!$Y$25="Alta",'Mapa final'!$AA$25="Mayor"),CONCATENATE("R2C",'Mapa final'!$O$25),"")</f>
        <v/>
      </c>
      <c r="AE17" s="49" t="str">
        <f>IF(AND('Mapa final'!$Y$26="Alta",'Mapa final'!$AA$26="Mayor"),CONCATENATE("R2C",'Mapa final'!$O$26),"")</f>
        <v/>
      </c>
      <c r="AF17" s="49" t="str">
        <f>IF(AND('Mapa final'!$Y$27="Alta",'Mapa final'!$AA$27="Mayor"),CONCATENATE("R2C",'Mapa final'!$O$27),"")</f>
        <v/>
      </c>
      <c r="AG17" s="50" t="str">
        <f>IF(AND('Mapa final'!$Y$28="Alta",'Mapa final'!$AA$28="Mayor"),CONCATENATE("R2C",'Mapa final'!$O$28),"")</f>
        <v/>
      </c>
      <c r="AH17" s="51" t="str">
        <f>IF(AND('Mapa final'!$Y$19="Alta",'Mapa final'!$AA$19="Catastrófico"),CONCATENATE("R2C",'Mapa final'!$O$19),"")</f>
        <v/>
      </c>
      <c r="AI17" s="52" t="str">
        <f>IF(AND('Mapa final'!$Y$22="Alta",'Mapa final'!$AA$22="Catastrófico"),CONCATENATE("R2C",'Mapa final'!$O$22),"")</f>
        <v/>
      </c>
      <c r="AJ17" s="52" t="str">
        <f>IF(AND('Mapa final'!$Y$25="Alta",'Mapa final'!$AA$25="Catastrófico"),CONCATENATE("R2C",'Mapa final'!$O$25),"")</f>
        <v/>
      </c>
      <c r="AK17" s="52" t="str">
        <f>IF(AND('Mapa final'!$Y$26="Alta",'Mapa final'!$AA$26="Catastrófico"),CONCATENATE("R2C",'Mapa final'!$O$26),"")</f>
        <v/>
      </c>
      <c r="AL17" s="52" t="str">
        <f>IF(AND('Mapa final'!$Y$27="Alta",'Mapa final'!$AA$27="Catastrófico"),CONCATENATE("R2C",'Mapa final'!$O$27),"")</f>
        <v/>
      </c>
      <c r="AM17" s="53" t="str">
        <f>IF(AND('Mapa final'!$Y$28="Alta",'Mapa final'!$AA$28="Catastrófico"),CONCATENATE("R2C",'Mapa final'!$O$28),"")</f>
        <v/>
      </c>
      <c r="AN17" s="79"/>
      <c r="AO17" s="458"/>
      <c r="AP17" s="459"/>
      <c r="AQ17" s="459"/>
      <c r="AR17" s="459"/>
      <c r="AS17" s="459"/>
      <c r="AT17" s="460"/>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row>
    <row r="18" spans="1:76" ht="15" customHeight="1" x14ac:dyDescent="0.25">
      <c r="A18" s="79"/>
      <c r="B18" s="407"/>
      <c r="C18" s="407"/>
      <c r="D18" s="408"/>
      <c r="E18" s="448"/>
      <c r="F18" s="449"/>
      <c r="G18" s="449"/>
      <c r="H18" s="449"/>
      <c r="I18" s="449"/>
      <c r="J18" s="63" t="str">
        <f>IF(AND('Mapa final'!$Y$29="Alta",'Mapa final'!$AA$29="Leve"),CONCATENATE("R3C",'Mapa final'!$O$29),"")</f>
        <v/>
      </c>
      <c r="K18" s="64" t="e">
        <f>IF(AND('Mapa final'!#REF!="Alta",'Mapa final'!#REF!="Leve"),CONCATENATE("R3C",'Mapa final'!#REF!),"")</f>
        <v>#REF!</v>
      </c>
      <c r="L18" s="64" t="e">
        <f>IF(AND('Mapa final'!#REF!="Alta",'Mapa final'!#REF!="Leve"),CONCATENATE("R3C",'Mapa final'!#REF!),"")</f>
        <v>#REF!</v>
      </c>
      <c r="M18" s="64" t="e">
        <f>IF(AND('Mapa final'!#REF!="Alta",'Mapa final'!#REF!="Leve"),CONCATENATE("R3C",'Mapa final'!#REF!),"")</f>
        <v>#REF!</v>
      </c>
      <c r="N18" s="64" t="e">
        <f>IF(AND('Mapa final'!#REF!="Alta",'Mapa final'!#REF!="Leve"),CONCATENATE("R3C",'Mapa final'!#REF!),"")</f>
        <v>#REF!</v>
      </c>
      <c r="O18" s="65" t="e">
        <f>IF(AND('Mapa final'!#REF!="Alta",'Mapa final'!#REF!="Leve"),CONCATENATE("R3C",'Mapa final'!#REF!),"")</f>
        <v>#REF!</v>
      </c>
      <c r="P18" s="63" t="str">
        <f>IF(AND('Mapa final'!$Y$29="Alta",'Mapa final'!$AA$29="Menor"),CONCATENATE("R3C",'Mapa final'!$O$29),"")</f>
        <v/>
      </c>
      <c r="Q18" s="64" t="e">
        <f>IF(AND('Mapa final'!#REF!="Alta",'Mapa final'!#REF!="Menor"),CONCATENATE("R3C",'Mapa final'!#REF!),"")</f>
        <v>#REF!</v>
      </c>
      <c r="R18" s="64" t="e">
        <f>IF(AND('Mapa final'!#REF!="Alta",'Mapa final'!#REF!="Menor"),CONCATENATE("R3C",'Mapa final'!#REF!),"")</f>
        <v>#REF!</v>
      </c>
      <c r="S18" s="64" t="e">
        <f>IF(AND('Mapa final'!#REF!="Alta",'Mapa final'!#REF!="Menor"),CONCATENATE("R3C",'Mapa final'!#REF!),"")</f>
        <v>#REF!</v>
      </c>
      <c r="T18" s="64" t="e">
        <f>IF(AND('Mapa final'!#REF!="Alta",'Mapa final'!#REF!="Menor"),CONCATENATE("R3C",'Mapa final'!#REF!),"")</f>
        <v>#REF!</v>
      </c>
      <c r="U18" s="65" t="e">
        <f>IF(AND('Mapa final'!#REF!="Alta",'Mapa final'!#REF!="Menor"),CONCATENATE("R3C",'Mapa final'!#REF!),"")</f>
        <v>#REF!</v>
      </c>
      <c r="V18" s="48" t="str">
        <f>IF(AND('Mapa final'!$Y$29="Alta",'Mapa final'!$AA$29="Moderado"),CONCATENATE("R3C",'Mapa final'!$O$29),"")</f>
        <v/>
      </c>
      <c r="W18" s="49" t="e">
        <f>IF(AND('Mapa final'!#REF!="Alta",'Mapa final'!#REF!="Moderado"),CONCATENATE("R3C",'Mapa final'!#REF!),"")</f>
        <v>#REF!</v>
      </c>
      <c r="X18" s="49" t="e">
        <f>IF(AND('Mapa final'!#REF!="Alta",'Mapa final'!#REF!="Moderado"),CONCATENATE("R3C",'Mapa final'!#REF!),"")</f>
        <v>#REF!</v>
      </c>
      <c r="Y18" s="49" t="e">
        <f>IF(AND('Mapa final'!#REF!="Alta",'Mapa final'!#REF!="Moderado"),CONCATENATE("R3C",'Mapa final'!#REF!),"")</f>
        <v>#REF!</v>
      </c>
      <c r="Z18" s="49" t="e">
        <f>IF(AND('Mapa final'!#REF!="Alta",'Mapa final'!#REF!="Moderado"),CONCATENATE("R3C",'Mapa final'!#REF!),"")</f>
        <v>#REF!</v>
      </c>
      <c r="AA18" s="50" t="e">
        <f>IF(AND('Mapa final'!#REF!="Alta",'Mapa final'!#REF!="Moderado"),CONCATENATE("R3C",'Mapa final'!#REF!),"")</f>
        <v>#REF!</v>
      </c>
      <c r="AB18" s="48" t="str">
        <f>IF(AND('Mapa final'!$Y$29="Alta",'Mapa final'!$AA$29="Mayor"),CONCATENATE("R3C",'Mapa final'!$O$29),"")</f>
        <v/>
      </c>
      <c r="AC18" s="49" t="e">
        <f>IF(AND('Mapa final'!#REF!="Alta",'Mapa final'!#REF!="Mayor"),CONCATENATE("R3C",'Mapa final'!#REF!),"")</f>
        <v>#REF!</v>
      </c>
      <c r="AD18" s="49" t="e">
        <f>IF(AND('Mapa final'!#REF!="Alta",'Mapa final'!#REF!="Mayor"),CONCATENATE("R3C",'Mapa final'!#REF!),"")</f>
        <v>#REF!</v>
      </c>
      <c r="AE18" s="49" t="e">
        <f>IF(AND('Mapa final'!#REF!="Alta",'Mapa final'!#REF!="Mayor"),CONCATENATE("R3C",'Mapa final'!#REF!),"")</f>
        <v>#REF!</v>
      </c>
      <c r="AF18" s="49" t="e">
        <f>IF(AND('Mapa final'!#REF!="Alta",'Mapa final'!#REF!="Mayor"),CONCATENATE("R3C",'Mapa final'!#REF!),"")</f>
        <v>#REF!</v>
      </c>
      <c r="AG18" s="50" t="e">
        <f>IF(AND('Mapa final'!#REF!="Alta",'Mapa final'!#REF!="Mayor"),CONCATENATE("R3C",'Mapa final'!#REF!),"")</f>
        <v>#REF!</v>
      </c>
      <c r="AH18" s="51" t="str">
        <f>IF(AND('Mapa final'!$Y$29="Alta",'Mapa final'!$AA$29="Catastrófico"),CONCATENATE("R3C",'Mapa final'!$O$29),"")</f>
        <v/>
      </c>
      <c r="AI18" s="52" t="e">
        <f>IF(AND('Mapa final'!#REF!="Alta",'Mapa final'!#REF!="Catastrófico"),CONCATENATE("R3C",'Mapa final'!#REF!),"")</f>
        <v>#REF!</v>
      </c>
      <c r="AJ18" s="52" t="e">
        <f>IF(AND('Mapa final'!#REF!="Alta",'Mapa final'!#REF!="Catastrófico"),CONCATENATE("R3C",'Mapa final'!#REF!),"")</f>
        <v>#REF!</v>
      </c>
      <c r="AK18" s="52" t="e">
        <f>IF(AND('Mapa final'!#REF!="Alta",'Mapa final'!#REF!="Catastrófico"),CONCATENATE("R3C",'Mapa final'!#REF!),"")</f>
        <v>#REF!</v>
      </c>
      <c r="AL18" s="52" t="e">
        <f>IF(AND('Mapa final'!#REF!="Alta",'Mapa final'!#REF!="Catastrófico"),CONCATENATE("R3C",'Mapa final'!#REF!),"")</f>
        <v>#REF!</v>
      </c>
      <c r="AM18" s="53" t="e">
        <f>IF(AND('Mapa final'!#REF!="Alta",'Mapa final'!#REF!="Catastrófico"),CONCATENATE("R3C",'Mapa final'!#REF!),"")</f>
        <v>#REF!</v>
      </c>
      <c r="AN18" s="79"/>
      <c r="AO18" s="458"/>
      <c r="AP18" s="459"/>
      <c r="AQ18" s="459"/>
      <c r="AR18" s="459"/>
      <c r="AS18" s="459"/>
      <c r="AT18" s="460"/>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row>
    <row r="19" spans="1:76" ht="15" customHeight="1" x14ac:dyDescent="0.25">
      <c r="A19" s="79"/>
      <c r="B19" s="407"/>
      <c r="C19" s="407"/>
      <c r="D19" s="408"/>
      <c r="E19" s="448"/>
      <c r="F19" s="449"/>
      <c r="G19" s="449"/>
      <c r="H19" s="449"/>
      <c r="I19" s="449"/>
      <c r="J19" s="63" t="str">
        <f>IF(AND('Mapa final'!$Y$43="Alta",'Mapa final'!$AA$43="Leve"),CONCATENATE("R4C",'Mapa final'!$O$43),"")</f>
        <v/>
      </c>
      <c r="K19" s="64" t="str">
        <f>IF(AND('Mapa final'!$Y$44="Alta",'Mapa final'!$AA$44="Leve"),CONCATENATE("R4C",'Mapa final'!$O$44),"")</f>
        <v/>
      </c>
      <c r="L19" s="64" t="str">
        <f>IF(AND('Mapa final'!$Y$45="Alta",'Mapa final'!$AA$45="Leve"),CONCATENATE("R4C",'Mapa final'!$O$45),"")</f>
        <v/>
      </c>
      <c r="M19" s="64" t="str">
        <f>IF(AND('Mapa final'!$Y$46="Alta",'Mapa final'!$AA$46="Leve"),CONCATENATE("R4C",'Mapa final'!$O$46),"")</f>
        <v/>
      </c>
      <c r="N19" s="64" t="str">
        <f>IF(AND('Mapa final'!$Y$47="Alta",'Mapa final'!$AA$47="Leve"),CONCATENATE("R4C",'Mapa final'!$O$47),"")</f>
        <v/>
      </c>
      <c r="O19" s="65" t="str">
        <f>IF(AND('Mapa final'!$Y$48="Alta",'Mapa final'!$AA$48="Leve"),CONCATENATE("R4C",'Mapa final'!$O$48),"")</f>
        <v/>
      </c>
      <c r="P19" s="63" t="str">
        <f>IF(AND('Mapa final'!$Y$43="Alta",'Mapa final'!$AA$43="Menor"),CONCATENATE("R4C",'Mapa final'!$O$43),"")</f>
        <v/>
      </c>
      <c r="Q19" s="64" t="str">
        <f>IF(AND('Mapa final'!$Y$44="Alta",'Mapa final'!$AA$44="Menor"),CONCATENATE("R4C",'Mapa final'!$O$44),"")</f>
        <v/>
      </c>
      <c r="R19" s="64" t="str">
        <f>IF(AND('Mapa final'!$Y$45="Alta",'Mapa final'!$AA$45="Menor"),CONCATENATE("R4C",'Mapa final'!$O$45),"")</f>
        <v/>
      </c>
      <c r="S19" s="64" t="str">
        <f>IF(AND('Mapa final'!$Y$46="Alta",'Mapa final'!$AA$46="Menor"),CONCATENATE("R4C",'Mapa final'!$O$46),"")</f>
        <v/>
      </c>
      <c r="T19" s="64" t="str">
        <f>IF(AND('Mapa final'!$Y$47="Alta",'Mapa final'!$AA$47="Menor"),CONCATENATE("R4C",'Mapa final'!$O$47),"")</f>
        <v/>
      </c>
      <c r="U19" s="65" t="str">
        <f>IF(AND('Mapa final'!$Y$48="Alta",'Mapa final'!$AA$48="Menor"),CONCATENATE("R4C",'Mapa final'!$O$48),"")</f>
        <v/>
      </c>
      <c r="V19" s="48" t="str">
        <f>IF(AND('Mapa final'!$Y$43="Alta",'Mapa final'!$AA$43="Moderado"),CONCATENATE("R4C",'Mapa final'!$O$43),"")</f>
        <v/>
      </c>
      <c r="W19" s="49" t="str">
        <f>IF(AND('Mapa final'!$Y$44="Alta",'Mapa final'!$AA$44="Moderado"),CONCATENATE("R4C",'Mapa final'!$O$44),"")</f>
        <v/>
      </c>
      <c r="X19" s="49" t="str">
        <f>IF(AND('Mapa final'!$Y$45="Alta",'Mapa final'!$AA$45="Moderado"),CONCATENATE("R4C",'Mapa final'!$O$45),"")</f>
        <v/>
      </c>
      <c r="Y19" s="49" t="str">
        <f>IF(AND('Mapa final'!$Y$46="Alta",'Mapa final'!$AA$46="Moderado"),CONCATENATE("R4C",'Mapa final'!$O$46),"")</f>
        <v/>
      </c>
      <c r="Z19" s="49" t="str">
        <f>IF(AND('Mapa final'!$Y$47="Alta",'Mapa final'!$AA$47="Moderado"),CONCATENATE("R4C",'Mapa final'!$O$47),"")</f>
        <v/>
      </c>
      <c r="AA19" s="50" t="str">
        <f>IF(AND('Mapa final'!$Y$48="Alta",'Mapa final'!$AA$48="Moderado"),CONCATENATE("R4C",'Mapa final'!$O$48),"")</f>
        <v/>
      </c>
      <c r="AB19" s="48" t="str">
        <f>IF(AND('Mapa final'!$Y$43="Alta",'Mapa final'!$AA$43="Mayor"),CONCATENATE("R4C",'Mapa final'!$O$43),"")</f>
        <v/>
      </c>
      <c r="AC19" s="49" t="str">
        <f>IF(AND('Mapa final'!$Y$44="Alta",'Mapa final'!$AA$44="Mayor"),CONCATENATE("R4C",'Mapa final'!$O$44),"")</f>
        <v/>
      </c>
      <c r="AD19" s="49" t="str">
        <f>IF(AND('Mapa final'!$Y$45="Alta",'Mapa final'!$AA$45="Mayor"),CONCATENATE("R4C",'Mapa final'!$O$45),"")</f>
        <v/>
      </c>
      <c r="AE19" s="49" t="str">
        <f>IF(AND('Mapa final'!$Y$46="Alta",'Mapa final'!$AA$46="Mayor"),CONCATENATE("R4C",'Mapa final'!$O$46),"")</f>
        <v/>
      </c>
      <c r="AF19" s="49" t="str">
        <f>IF(AND('Mapa final'!$Y$47="Alta",'Mapa final'!$AA$47="Mayor"),CONCATENATE("R4C",'Mapa final'!$O$47),"")</f>
        <v/>
      </c>
      <c r="AG19" s="50" t="str">
        <f>IF(AND('Mapa final'!$Y$48="Alta",'Mapa final'!$AA$48="Mayor"),CONCATENATE("R4C",'Mapa final'!$O$48),"")</f>
        <v/>
      </c>
      <c r="AH19" s="51" t="str">
        <f>IF(AND('Mapa final'!$Y$43="Alta",'Mapa final'!$AA$43="Catastrófico"),CONCATENATE("R4C",'Mapa final'!$O$43),"")</f>
        <v/>
      </c>
      <c r="AI19" s="52" t="str">
        <f>IF(AND('Mapa final'!$Y$44="Alta",'Mapa final'!$AA$44="Catastrófico"),CONCATENATE("R4C",'Mapa final'!$O$44),"")</f>
        <v/>
      </c>
      <c r="AJ19" s="52" t="str">
        <f>IF(AND('Mapa final'!$Y$45="Alta",'Mapa final'!$AA$45="Catastrófico"),CONCATENATE("R4C",'Mapa final'!$O$45),"")</f>
        <v/>
      </c>
      <c r="AK19" s="52" t="str">
        <f>IF(AND('Mapa final'!$Y$46="Alta",'Mapa final'!$AA$46="Catastrófico"),CONCATENATE("R4C",'Mapa final'!$O$46),"")</f>
        <v/>
      </c>
      <c r="AL19" s="52" t="str">
        <f>IF(AND('Mapa final'!$Y$47="Alta",'Mapa final'!$AA$47="Catastrófico"),CONCATENATE("R4C",'Mapa final'!$O$47),"")</f>
        <v/>
      </c>
      <c r="AM19" s="53" t="str">
        <f>IF(AND('Mapa final'!$Y$48="Alta",'Mapa final'!$AA$48="Catastrófico"),CONCATENATE("R4C",'Mapa final'!$O$48),"")</f>
        <v/>
      </c>
      <c r="AN19" s="79"/>
      <c r="AO19" s="458"/>
      <c r="AP19" s="459"/>
      <c r="AQ19" s="459"/>
      <c r="AR19" s="459"/>
      <c r="AS19" s="459"/>
      <c r="AT19" s="460"/>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row>
    <row r="20" spans="1:76" ht="15" customHeight="1" x14ac:dyDescent="0.25">
      <c r="A20" s="79"/>
      <c r="B20" s="407"/>
      <c r="C20" s="407"/>
      <c r="D20" s="408"/>
      <c r="E20" s="448"/>
      <c r="F20" s="449"/>
      <c r="G20" s="449"/>
      <c r="H20" s="449"/>
      <c r="I20" s="449"/>
      <c r="J20" s="63" t="str">
        <f>IF(AND('Mapa final'!$Y$49="Alta",'Mapa final'!$AA$49="Leve"),CONCATENATE("R5C",'Mapa final'!$O$49),"")</f>
        <v/>
      </c>
      <c r="K20" s="64" t="str">
        <f>IF(AND('Mapa final'!$Y$50="Alta",'Mapa final'!$AA$50="Leve"),CONCATENATE("R5C",'Mapa final'!$O$50),"")</f>
        <v/>
      </c>
      <c r="L20" s="64" t="str">
        <f>IF(AND('Mapa final'!$Y$51="Alta",'Mapa final'!$AA$51="Leve"),CONCATENATE("R5C",'Mapa final'!$O$51),"")</f>
        <v/>
      </c>
      <c r="M20" s="64" t="str">
        <f>IF(AND('Mapa final'!$Y$52="Alta",'Mapa final'!$AA$52="Leve"),CONCATENATE("R5C",'Mapa final'!$O$52),"")</f>
        <v/>
      </c>
      <c r="N20" s="64" t="str">
        <f>IF(AND('Mapa final'!$Y$53="Alta",'Mapa final'!$AA$53="Leve"),CONCATENATE("R5C",'Mapa final'!$O$53),"")</f>
        <v/>
      </c>
      <c r="O20" s="65" t="e">
        <f>IF(AND('Mapa final'!#REF!="Alta",'Mapa final'!#REF!="Leve"),CONCATENATE("R5C",'Mapa final'!#REF!),"")</f>
        <v>#REF!</v>
      </c>
      <c r="P20" s="63" t="str">
        <f>IF(AND('Mapa final'!$Y$49="Alta",'Mapa final'!$AA$49="Menor"),CONCATENATE("R5C",'Mapa final'!$O$49),"")</f>
        <v/>
      </c>
      <c r="Q20" s="64" t="str">
        <f>IF(AND('Mapa final'!$Y$50="Alta",'Mapa final'!$AA$50="Menor"),CONCATENATE("R5C",'Mapa final'!$O$50),"")</f>
        <v/>
      </c>
      <c r="R20" s="64" t="str">
        <f>IF(AND('Mapa final'!$Y$51="Alta",'Mapa final'!$AA$51="Menor"),CONCATENATE("R5C",'Mapa final'!$O$51),"")</f>
        <v/>
      </c>
      <c r="S20" s="64" t="str">
        <f>IF(AND('Mapa final'!$Y$52="Alta",'Mapa final'!$AA$52="Menor"),CONCATENATE("R5C",'Mapa final'!$O$52),"")</f>
        <v/>
      </c>
      <c r="T20" s="64" t="str">
        <f>IF(AND('Mapa final'!$Y$53="Alta",'Mapa final'!$AA$53="Menor"),CONCATENATE("R5C",'Mapa final'!$O$53),"")</f>
        <v/>
      </c>
      <c r="U20" s="65" t="e">
        <f>IF(AND('Mapa final'!#REF!="Alta",'Mapa final'!#REF!="Menor"),CONCATENATE("R5C",'Mapa final'!#REF!),"")</f>
        <v>#REF!</v>
      </c>
      <c r="V20" s="48" t="str">
        <f>IF(AND('Mapa final'!$Y$49="Alta",'Mapa final'!$AA$49="Moderado"),CONCATENATE("R5C",'Mapa final'!$O$49),"")</f>
        <v/>
      </c>
      <c r="W20" s="49" t="str">
        <f>IF(AND('Mapa final'!$Y$50="Alta",'Mapa final'!$AA$50="Moderado"),CONCATENATE("R5C",'Mapa final'!$O$50),"")</f>
        <v/>
      </c>
      <c r="X20" s="49" t="str">
        <f>IF(AND('Mapa final'!$Y$51="Alta",'Mapa final'!$AA$51="Moderado"),CONCATENATE("R5C",'Mapa final'!$O$51),"")</f>
        <v/>
      </c>
      <c r="Y20" s="49" t="str">
        <f>IF(AND('Mapa final'!$Y$52="Alta",'Mapa final'!$AA$52="Moderado"),CONCATENATE("R5C",'Mapa final'!$O$52),"")</f>
        <v/>
      </c>
      <c r="Z20" s="49" t="str">
        <f>IF(AND('Mapa final'!$Y$53="Alta",'Mapa final'!$AA$53="Moderado"),CONCATENATE("R5C",'Mapa final'!$O$53),"")</f>
        <v/>
      </c>
      <c r="AA20" s="50" t="e">
        <f>IF(AND('Mapa final'!#REF!="Alta",'Mapa final'!#REF!="Moderado"),CONCATENATE("R5C",'Mapa final'!#REF!),"")</f>
        <v>#REF!</v>
      </c>
      <c r="AB20" s="48" t="str">
        <f>IF(AND('Mapa final'!$Y$49="Alta",'Mapa final'!$AA$49="Mayor"),CONCATENATE("R5C",'Mapa final'!$O$49),"")</f>
        <v/>
      </c>
      <c r="AC20" s="49" t="str">
        <f>IF(AND('Mapa final'!$Y$50="Alta",'Mapa final'!$AA$50="Mayor"),CONCATENATE("R5C",'Mapa final'!$O$50),"")</f>
        <v/>
      </c>
      <c r="AD20" s="49" t="str">
        <f>IF(AND('Mapa final'!$Y$51="Alta",'Mapa final'!$AA$51="Mayor"),CONCATENATE("R5C",'Mapa final'!$O$51),"")</f>
        <v/>
      </c>
      <c r="AE20" s="49" t="str">
        <f>IF(AND('Mapa final'!$Y$52="Alta",'Mapa final'!$AA$52="Mayor"),CONCATENATE("R5C",'Mapa final'!$O$52),"")</f>
        <v/>
      </c>
      <c r="AF20" s="49" t="str">
        <f>IF(AND('Mapa final'!$Y$53="Alta",'Mapa final'!$AA$53="Mayor"),CONCATENATE("R5C",'Mapa final'!$O$53),"")</f>
        <v/>
      </c>
      <c r="AG20" s="50" t="e">
        <f>IF(AND('Mapa final'!#REF!="Alta",'Mapa final'!#REF!="Mayor"),CONCATENATE("R5C",'Mapa final'!#REF!),"")</f>
        <v>#REF!</v>
      </c>
      <c r="AH20" s="51" t="str">
        <f>IF(AND('Mapa final'!$Y$49="Alta",'Mapa final'!$AA$49="Catastrófico"),CONCATENATE("R5C",'Mapa final'!$O$49),"")</f>
        <v/>
      </c>
      <c r="AI20" s="52" t="str">
        <f>IF(AND('Mapa final'!$Y$50="Alta",'Mapa final'!$AA$50="Catastrófico"),CONCATENATE("R5C",'Mapa final'!$O$50),"")</f>
        <v/>
      </c>
      <c r="AJ20" s="52" t="str">
        <f>IF(AND('Mapa final'!$Y$51="Alta",'Mapa final'!$AA$51="Catastrófico"),CONCATENATE("R5C",'Mapa final'!$O$51),"")</f>
        <v/>
      </c>
      <c r="AK20" s="52" t="str">
        <f>IF(AND('Mapa final'!$Y$52="Alta",'Mapa final'!$AA$52="Catastrófico"),CONCATENATE("R5C",'Mapa final'!$O$52),"")</f>
        <v/>
      </c>
      <c r="AL20" s="52" t="str">
        <f>IF(AND('Mapa final'!$Y$53="Alta",'Mapa final'!$AA$53="Catastrófico"),CONCATENATE("R5C",'Mapa final'!$O$53),"")</f>
        <v/>
      </c>
      <c r="AM20" s="53" t="e">
        <f>IF(AND('Mapa final'!#REF!="Alta",'Mapa final'!#REF!="Catastrófico"),CONCATENATE("R5C",'Mapa final'!#REF!),"")</f>
        <v>#REF!</v>
      </c>
      <c r="AN20" s="79"/>
      <c r="AO20" s="458"/>
      <c r="AP20" s="459"/>
      <c r="AQ20" s="459"/>
      <c r="AR20" s="459"/>
      <c r="AS20" s="459"/>
      <c r="AT20" s="460"/>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row>
    <row r="21" spans="1:76" ht="15" customHeight="1" x14ac:dyDescent="0.25">
      <c r="A21" s="79"/>
      <c r="B21" s="407"/>
      <c r="C21" s="407"/>
      <c r="D21" s="408"/>
      <c r="E21" s="448"/>
      <c r="F21" s="449"/>
      <c r="G21" s="449"/>
      <c r="H21" s="449"/>
      <c r="I21" s="449"/>
      <c r="J21" s="63" t="str">
        <f>IF(AND('Mapa final'!$Y$54="Alta",'Mapa final'!$AA$54="Leve"),CONCATENATE("R6C",'Mapa final'!$O$54),"")</f>
        <v/>
      </c>
      <c r="K21" s="64" t="str">
        <f>IF(AND('Mapa final'!$Y$55="Alta",'Mapa final'!$AA$55="Leve"),CONCATENATE("R6C",'Mapa final'!$O$55),"")</f>
        <v/>
      </c>
      <c r="L21" s="64" t="str">
        <f>IF(AND('Mapa final'!$Y$56="Alta",'Mapa final'!$AA$56="Leve"),CONCATENATE("R6C",'Mapa final'!$O$56),"")</f>
        <v/>
      </c>
      <c r="M21" s="64" t="str">
        <f>IF(AND('Mapa final'!$Y$57="Alta",'Mapa final'!$AA$57="Leve"),CONCATENATE("R6C",'Mapa final'!$O$57),"")</f>
        <v/>
      </c>
      <c r="N21" s="64" t="e">
        <f>IF(AND('Mapa final'!#REF!="Alta",'Mapa final'!#REF!="Leve"),CONCATENATE("R6C",'Mapa final'!#REF!),"")</f>
        <v>#REF!</v>
      </c>
      <c r="O21" s="65" t="e">
        <f>IF(AND('Mapa final'!#REF!="Alta",'Mapa final'!#REF!="Leve"),CONCATENATE("R6C",'Mapa final'!#REF!),"")</f>
        <v>#REF!</v>
      </c>
      <c r="P21" s="63" t="str">
        <f>IF(AND('Mapa final'!$Y$54="Alta",'Mapa final'!$AA$54="Menor"),CONCATENATE("R6C",'Mapa final'!$O$54),"")</f>
        <v/>
      </c>
      <c r="Q21" s="64" t="str">
        <f>IF(AND('Mapa final'!$Y$55="Alta",'Mapa final'!$AA$55="Menor"),CONCATENATE("R6C",'Mapa final'!$O$55),"")</f>
        <v/>
      </c>
      <c r="R21" s="64" t="str">
        <f>IF(AND('Mapa final'!$Y$56="Alta",'Mapa final'!$AA$56="Menor"),CONCATENATE("R6C",'Mapa final'!$O$56),"")</f>
        <v/>
      </c>
      <c r="S21" s="64" t="str">
        <f>IF(AND('Mapa final'!$Y$57="Alta",'Mapa final'!$AA$57="Menor"),CONCATENATE("R6C",'Mapa final'!$O$57),"")</f>
        <v/>
      </c>
      <c r="T21" s="64" t="e">
        <f>IF(AND('Mapa final'!#REF!="Alta",'Mapa final'!#REF!="Menor"),CONCATENATE("R6C",'Mapa final'!#REF!),"")</f>
        <v>#REF!</v>
      </c>
      <c r="U21" s="65" t="e">
        <f>IF(AND('Mapa final'!#REF!="Alta",'Mapa final'!#REF!="Menor"),CONCATENATE("R6C",'Mapa final'!#REF!),"")</f>
        <v>#REF!</v>
      </c>
      <c r="V21" s="48" t="str">
        <f>IF(AND('Mapa final'!$Y$54="Alta",'Mapa final'!$AA$54="Moderado"),CONCATENATE("R6C",'Mapa final'!$O$54),"")</f>
        <v/>
      </c>
      <c r="W21" s="49" t="str">
        <f>IF(AND('Mapa final'!$Y$55="Alta",'Mapa final'!$AA$55="Moderado"),CONCATENATE("R6C",'Mapa final'!$O$55),"")</f>
        <v/>
      </c>
      <c r="X21" s="49" t="str">
        <f>IF(AND('Mapa final'!$Y$56="Alta",'Mapa final'!$AA$56="Moderado"),CONCATENATE("R6C",'Mapa final'!$O$56),"")</f>
        <v/>
      </c>
      <c r="Y21" s="49" t="str">
        <f>IF(AND('Mapa final'!$Y$57="Alta",'Mapa final'!$AA$57="Moderado"),CONCATENATE("R6C",'Mapa final'!$O$57),"")</f>
        <v/>
      </c>
      <c r="Z21" s="49" t="e">
        <f>IF(AND('Mapa final'!#REF!="Alta",'Mapa final'!#REF!="Moderado"),CONCATENATE("R6C",'Mapa final'!#REF!),"")</f>
        <v>#REF!</v>
      </c>
      <c r="AA21" s="50" t="e">
        <f>IF(AND('Mapa final'!#REF!="Alta",'Mapa final'!#REF!="Moderado"),CONCATENATE("R6C",'Mapa final'!#REF!),"")</f>
        <v>#REF!</v>
      </c>
      <c r="AB21" s="48" t="str">
        <f>IF(AND('Mapa final'!$Y$54="Alta",'Mapa final'!$AA$54="Mayor"),CONCATENATE("R6C",'Mapa final'!$O$54),"")</f>
        <v/>
      </c>
      <c r="AC21" s="49" t="str">
        <f>IF(AND('Mapa final'!$Y$55="Alta",'Mapa final'!$AA$55="Mayor"),CONCATENATE("R6C",'Mapa final'!$O$55),"")</f>
        <v/>
      </c>
      <c r="AD21" s="49" t="str">
        <f>IF(AND('Mapa final'!$Y$56="Alta",'Mapa final'!$AA$56="Mayor"),CONCATENATE("R6C",'Mapa final'!$O$56),"")</f>
        <v/>
      </c>
      <c r="AE21" s="49" t="str">
        <f>IF(AND('Mapa final'!$Y$57="Alta",'Mapa final'!$AA$57="Mayor"),CONCATENATE("R6C",'Mapa final'!$O$57),"")</f>
        <v/>
      </c>
      <c r="AF21" s="49" t="e">
        <f>IF(AND('Mapa final'!#REF!="Alta",'Mapa final'!#REF!="Mayor"),CONCATENATE("R6C",'Mapa final'!#REF!),"")</f>
        <v>#REF!</v>
      </c>
      <c r="AG21" s="50" t="e">
        <f>IF(AND('Mapa final'!#REF!="Alta",'Mapa final'!#REF!="Mayor"),CONCATENATE("R6C",'Mapa final'!#REF!),"")</f>
        <v>#REF!</v>
      </c>
      <c r="AH21" s="51" t="str">
        <f>IF(AND('Mapa final'!$Y$54="Alta",'Mapa final'!$AA$54="Catastrófico"),CONCATENATE("R6C",'Mapa final'!$O$54),"")</f>
        <v/>
      </c>
      <c r="AI21" s="52" t="str">
        <f>IF(AND('Mapa final'!$Y$55="Alta",'Mapa final'!$AA$55="Catastrófico"),CONCATENATE("R6C",'Mapa final'!$O$55),"")</f>
        <v/>
      </c>
      <c r="AJ21" s="52" t="str">
        <f>IF(AND('Mapa final'!$Y$56="Alta",'Mapa final'!$AA$56="Catastrófico"),CONCATENATE("R6C",'Mapa final'!$O$56),"")</f>
        <v/>
      </c>
      <c r="AK21" s="52" t="str">
        <f>IF(AND('Mapa final'!$Y$57="Alta",'Mapa final'!$AA$57="Catastrófico"),CONCATENATE("R6C",'Mapa final'!$O$57),"")</f>
        <v/>
      </c>
      <c r="AL21" s="52" t="e">
        <f>IF(AND('Mapa final'!#REF!="Alta",'Mapa final'!#REF!="Catastrófico"),CONCATENATE("R6C",'Mapa final'!#REF!),"")</f>
        <v>#REF!</v>
      </c>
      <c r="AM21" s="53" t="e">
        <f>IF(AND('Mapa final'!#REF!="Alta",'Mapa final'!#REF!="Catastrófico"),CONCATENATE("R6C",'Mapa final'!#REF!),"")</f>
        <v>#REF!</v>
      </c>
      <c r="AN21" s="79"/>
      <c r="AO21" s="458"/>
      <c r="AP21" s="459"/>
      <c r="AQ21" s="459"/>
      <c r="AR21" s="459"/>
      <c r="AS21" s="459"/>
      <c r="AT21" s="460"/>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row>
    <row r="22" spans="1:76" ht="15" customHeight="1" x14ac:dyDescent="0.25">
      <c r="A22" s="79"/>
      <c r="B22" s="407"/>
      <c r="C22" s="407"/>
      <c r="D22" s="408"/>
      <c r="E22" s="448"/>
      <c r="F22" s="449"/>
      <c r="G22" s="449"/>
      <c r="H22" s="449"/>
      <c r="I22" s="449"/>
      <c r="J22" s="63" t="e">
        <f>IF(AND('Mapa final'!#REF!="Alta",'Mapa final'!#REF!="Leve"),CONCATENATE("R7C",'Mapa final'!#REF!),"")</f>
        <v>#REF!</v>
      </c>
      <c r="K22" s="64" t="e">
        <f>IF(AND('Mapa final'!#REF!="Alta",'Mapa final'!#REF!="Leve"),CONCATENATE("R7C",'Mapa final'!#REF!),"")</f>
        <v>#REF!</v>
      </c>
      <c r="L22" s="64" t="e">
        <f>IF(AND('Mapa final'!#REF!="Alta",'Mapa final'!#REF!="Leve"),CONCATENATE("R7C",'Mapa final'!#REF!),"")</f>
        <v>#REF!</v>
      </c>
      <c r="M22" s="64" t="e">
        <f>IF(AND('Mapa final'!#REF!="Alta",'Mapa final'!#REF!="Leve"),CONCATENATE("R7C",'Mapa final'!#REF!),"")</f>
        <v>#REF!</v>
      </c>
      <c r="N22" s="64" t="e">
        <f>IF(AND('Mapa final'!#REF!="Alta",'Mapa final'!#REF!="Leve"),CONCATENATE("R7C",'Mapa final'!#REF!),"")</f>
        <v>#REF!</v>
      </c>
      <c r="O22" s="65" t="e">
        <f>IF(AND('Mapa final'!#REF!="Alta",'Mapa final'!#REF!="Leve"),CONCATENATE("R7C",'Mapa final'!#REF!),"")</f>
        <v>#REF!</v>
      </c>
      <c r="P22" s="63" t="e">
        <f>IF(AND('Mapa final'!#REF!="Alta",'Mapa final'!#REF!="Menor"),CONCATENATE("R7C",'Mapa final'!#REF!),"")</f>
        <v>#REF!</v>
      </c>
      <c r="Q22" s="64" t="e">
        <f>IF(AND('Mapa final'!#REF!="Alta",'Mapa final'!#REF!="Menor"),CONCATENATE("R7C",'Mapa final'!#REF!),"")</f>
        <v>#REF!</v>
      </c>
      <c r="R22" s="64" t="e">
        <f>IF(AND('Mapa final'!#REF!="Alta",'Mapa final'!#REF!="Menor"),CONCATENATE("R7C",'Mapa final'!#REF!),"")</f>
        <v>#REF!</v>
      </c>
      <c r="S22" s="64" t="e">
        <f>IF(AND('Mapa final'!#REF!="Alta",'Mapa final'!#REF!="Menor"),CONCATENATE("R7C",'Mapa final'!#REF!),"")</f>
        <v>#REF!</v>
      </c>
      <c r="T22" s="64" t="e">
        <f>IF(AND('Mapa final'!#REF!="Alta",'Mapa final'!#REF!="Menor"),CONCATENATE("R7C",'Mapa final'!#REF!),"")</f>
        <v>#REF!</v>
      </c>
      <c r="U22" s="65" t="e">
        <f>IF(AND('Mapa final'!#REF!="Alta",'Mapa final'!#REF!="Menor"),CONCATENATE("R7C",'Mapa final'!#REF!),"")</f>
        <v>#REF!</v>
      </c>
      <c r="V22" s="48" t="e">
        <f>IF(AND('Mapa final'!#REF!="Alta",'Mapa final'!#REF!="Moderado"),CONCATENATE("R7C",'Mapa final'!#REF!),"")</f>
        <v>#REF!</v>
      </c>
      <c r="W22" s="49" t="e">
        <f>IF(AND('Mapa final'!#REF!="Alta",'Mapa final'!#REF!="Moderado"),CONCATENATE("R7C",'Mapa final'!#REF!),"")</f>
        <v>#REF!</v>
      </c>
      <c r="X22" s="49" t="e">
        <f>IF(AND('Mapa final'!#REF!="Alta",'Mapa final'!#REF!="Moderado"),CONCATENATE("R7C",'Mapa final'!#REF!),"")</f>
        <v>#REF!</v>
      </c>
      <c r="Y22" s="49" t="e">
        <f>IF(AND('Mapa final'!#REF!="Alta",'Mapa final'!#REF!="Moderado"),CONCATENATE("R7C",'Mapa final'!#REF!),"")</f>
        <v>#REF!</v>
      </c>
      <c r="Z22" s="49" t="e">
        <f>IF(AND('Mapa final'!#REF!="Alta",'Mapa final'!#REF!="Moderado"),CONCATENATE("R7C",'Mapa final'!#REF!),"")</f>
        <v>#REF!</v>
      </c>
      <c r="AA22" s="50" t="e">
        <f>IF(AND('Mapa final'!#REF!="Alta",'Mapa final'!#REF!="Moderado"),CONCATENATE("R7C",'Mapa final'!#REF!),"")</f>
        <v>#REF!</v>
      </c>
      <c r="AB22" s="48" t="e">
        <f>IF(AND('Mapa final'!#REF!="Alta",'Mapa final'!#REF!="Mayor"),CONCATENATE("R7C",'Mapa final'!#REF!),"")</f>
        <v>#REF!</v>
      </c>
      <c r="AC22" s="49" t="e">
        <f>IF(AND('Mapa final'!#REF!="Alta",'Mapa final'!#REF!="Mayor"),CONCATENATE("R7C",'Mapa final'!#REF!),"")</f>
        <v>#REF!</v>
      </c>
      <c r="AD22" s="49" t="e">
        <f>IF(AND('Mapa final'!#REF!="Alta",'Mapa final'!#REF!="Mayor"),CONCATENATE("R7C",'Mapa final'!#REF!),"")</f>
        <v>#REF!</v>
      </c>
      <c r="AE22" s="49" t="e">
        <f>IF(AND('Mapa final'!#REF!="Alta",'Mapa final'!#REF!="Mayor"),CONCATENATE("R7C",'Mapa final'!#REF!),"")</f>
        <v>#REF!</v>
      </c>
      <c r="AF22" s="49" t="e">
        <f>IF(AND('Mapa final'!#REF!="Alta",'Mapa final'!#REF!="Mayor"),CONCATENATE("R7C",'Mapa final'!#REF!),"")</f>
        <v>#REF!</v>
      </c>
      <c r="AG22" s="50" t="e">
        <f>IF(AND('Mapa final'!#REF!="Alta",'Mapa final'!#REF!="Mayor"),CONCATENATE("R7C",'Mapa final'!#REF!),"")</f>
        <v>#REF!</v>
      </c>
      <c r="AH22" s="51" t="e">
        <f>IF(AND('Mapa final'!#REF!="Alta",'Mapa final'!#REF!="Catastrófico"),CONCATENATE("R7C",'Mapa final'!#REF!),"")</f>
        <v>#REF!</v>
      </c>
      <c r="AI22" s="52" t="e">
        <f>IF(AND('Mapa final'!#REF!="Alta",'Mapa final'!#REF!="Catastrófico"),CONCATENATE("R7C",'Mapa final'!#REF!),"")</f>
        <v>#REF!</v>
      </c>
      <c r="AJ22" s="52" t="e">
        <f>IF(AND('Mapa final'!#REF!="Alta",'Mapa final'!#REF!="Catastrófico"),CONCATENATE("R7C",'Mapa final'!#REF!),"")</f>
        <v>#REF!</v>
      </c>
      <c r="AK22" s="52" t="e">
        <f>IF(AND('Mapa final'!#REF!="Alta",'Mapa final'!#REF!="Catastrófico"),CONCATENATE("R7C",'Mapa final'!#REF!),"")</f>
        <v>#REF!</v>
      </c>
      <c r="AL22" s="52" t="e">
        <f>IF(AND('Mapa final'!#REF!="Alta",'Mapa final'!#REF!="Catastrófico"),CONCATENATE("R7C",'Mapa final'!#REF!),"")</f>
        <v>#REF!</v>
      </c>
      <c r="AM22" s="53" t="e">
        <f>IF(AND('Mapa final'!#REF!="Alta",'Mapa final'!#REF!="Catastrófico"),CONCATENATE("R7C",'Mapa final'!#REF!),"")</f>
        <v>#REF!</v>
      </c>
      <c r="AN22" s="79"/>
      <c r="AO22" s="458"/>
      <c r="AP22" s="459"/>
      <c r="AQ22" s="459"/>
      <c r="AR22" s="459"/>
      <c r="AS22" s="459"/>
      <c r="AT22" s="460"/>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row>
    <row r="23" spans="1:76" ht="15" customHeight="1" x14ac:dyDescent="0.25">
      <c r="A23" s="79"/>
      <c r="B23" s="407"/>
      <c r="C23" s="407"/>
      <c r="D23" s="408"/>
      <c r="E23" s="448"/>
      <c r="F23" s="449"/>
      <c r="G23" s="449"/>
      <c r="H23" s="449"/>
      <c r="I23" s="449"/>
      <c r="J23" s="63" t="e">
        <f>IF(AND('Mapa final'!#REF!="Alta",'Mapa final'!#REF!="Leve"),CONCATENATE("R8C",'Mapa final'!#REF!),"")</f>
        <v>#REF!</v>
      </c>
      <c r="K23" s="64" t="e">
        <f>IF(AND('Mapa final'!#REF!="Alta",'Mapa final'!#REF!="Leve"),CONCATENATE("R8C",'Mapa final'!#REF!),"")</f>
        <v>#REF!</v>
      </c>
      <c r="L23" s="64" t="e">
        <f>IF(AND('Mapa final'!#REF!="Alta",'Mapa final'!#REF!="Leve"),CONCATENATE("R8C",'Mapa final'!#REF!),"")</f>
        <v>#REF!</v>
      </c>
      <c r="M23" s="64" t="e">
        <f>IF(AND('Mapa final'!#REF!="Alta",'Mapa final'!#REF!="Leve"),CONCATENATE("R8C",'Mapa final'!#REF!),"")</f>
        <v>#REF!</v>
      </c>
      <c r="N23" s="64" t="e">
        <f>IF(AND('Mapa final'!#REF!="Alta",'Mapa final'!#REF!="Leve"),CONCATENATE("R8C",'Mapa final'!#REF!),"")</f>
        <v>#REF!</v>
      </c>
      <c r="O23" s="65" t="e">
        <f>IF(AND('Mapa final'!#REF!="Alta",'Mapa final'!#REF!="Leve"),CONCATENATE("R8C",'Mapa final'!#REF!),"")</f>
        <v>#REF!</v>
      </c>
      <c r="P23" s="63" t="e">
        <f>IF(AND('Mapa final'!#REF!="Alta",'Mapa final'!#REF!="Menor"),CONCATENATE("R8C",'Mapa final'!#REF!),"")</f>
        <v>#REF!</v>
      </c>
      <c r="Q23" s="64" t="e">
        <f>IF(AND('Mapa final'!#REF!="Alta",'Mapa final'!#REF!="Menor"),CONCATENATE("R8C",'Mapa final'!#REF!),"")</f>
        <v>#REF!</v>
      </c>
      <c r="R23" s="64" t="e">
        <f>IF(AND('Mapa final'!#REF!="Alta",'Mapa final'!#REF!="Menor"),CONCATENATE("R8C",'Mapa final'!#REF!),"")</f>
        <v>#REF!</v>
      </c>
      <c r="S23" s="64" t="e">
        <f>IF(AND('Mapa final'!#REF!="Alta",'Mapa final'!#REF!="Menor"),CONCATENATE("R8C",'Mapa final'!#REF!),"")</f>
        <v>#REF!</v>
      </c>
      <c r="T23" s="64" t="e">
        <f>IF(AND('Mapa final'!#REF!="Alta",'Mapa final'!#REF!="Menor"),CONCATENATE("R8C",'Mapa final'!#REF!),"")</f>
        <v>#REF!</v>
      </c>
      <c r="U23" s="65" t="e">
        <f>IF(AND('Mapa final'!#REF!="Alta",'Mapa final'!#REF!="Menor"),CONCATENATE("R8C",'Mapa final'!#REF!),"")</f>
        <v>#REF!</v>
      </c>
      <c r="V23" s="48" t="e">
        <f>IF(AND('Mapa final'!#REF!="Alta",'Mapa final'!#REF!="Moderado"),CONCATENATE("R8C",'Mapa final'!#REF!),"")</f>
        <v>#REF!</v>
      </c>
      <c r="W23" s="49" t="e">
        <f>IF(AND('Mapa final'!#REF!="Alta",'Mapa final'!#REF!="Moderado"),CONCATENATE("R8C",'Mapa final'!#REF!),"")</f>
        <v>#REF!</v>
      </c>
      <c r="X23" s="49" t="e">
        <f>IF(AND('Mapa final'!#REF!="Alta",'Mapa final'!#REF!="Moderado"),CONCATENATE("R8C",'Mapa final'!#REF!),"")</f>
        <v>#REF!</v>
      </c>
      <c r="Y23" s="49" t="e">
        <f>IF(AND('Mapa final'!#REF!="Alta",'Mapa final'!#REF!="Moderado"),CONCATENATE("R8C",'Mapa final'!#REF!),"")</f>
        <v>#REF!</v>
      </c>
      <c r="Z23" s="49" t="e">
        <f>IF(AND('Mapa final'!#REF!="Alta",'Mapa final'!#REF!="Moderado"),CONCATENATE("R8C",'Mapa final'!#REF!),"")</f>
        <v>#REF!</v>
      </c>
      <c r="AA23" s="50" t="e">
        <f>IF(AND('Mapa final'!#REF!="Alta",'Mapa final'!#REF!="Moderado"),CONCATENATE("R8C",'Mapa final'!#REF!),"")</f>
        <v>#REF!</v>
      </c>
      <c r="AB23" s="48" t="e">
        <f>IF(AND('Mapa final'!#REF!="Alta",'Mapa final'!#REF!="Mayor"),CONCATENATE("R8C",'Mapa final'!#REF!),"")</f>
        <v>#REF!</v>
      </c>
      <c r="AC23" s="49" t="e">
        <f>IF(AND('Mapa final'!#REF!="Alta",'Mapa final'!#REF!="Mayor"),CONCATENATE("R8C",'Mapa final'!#REF!),"")</f>
        <v>#REF!</v>
      </c>
      <c r="AD23" s="49" t="e">
        <f>IF(AND('Mapa final'!#REF!="Alta",'Mapa final'!#REF!="Mayor"),CONCATENATE("R8C",'Mapa final'!#REF!),"")</f>
        <v>#REF!</v>
      </c>
      <c r="AE23" s="49" t="e">
        <f>IF(AND('Mapa final'!#REF!="Alta",'Mapa final'!#REF!="Mayor"),CONCATENATE("R8C",'Mapa final'!#REF!),"")</f>
        <v>#REF!</v>
      </c>
      <c r="AF23" s="49" t="e">
        <f>IF(AND('Mapa final'!#REF!="Alta",'Mapa final'!#REF!="Mayor"),CONCATENATE("R8C",'Mapa final'!#REF!),"")</f>
        <v>#REF!</v>
      </c>
      <c r="AG23" s="50" t="e">
        <f>IF(AND('Mapa final'!#REF!="Alta",'Mapa final'!#REF!="Mayor"),CONCATENATE("R8C",'Mapa final'!#REF!),"")</f>
        <v>#REF!</v>
      </c>
      <c r="AH23" s="51" t="e">
        <f>IF(AND('Mapa final'!#REF!="Alta",'Mapa final'!#REF!="Catastrófico"),CONCATENATE("R8C",'Mapa final'!#REF!),"")</f>
        <v>#REF!</v>
      </c>
      <c r="AI23" s="52" t="e">
        <f>IF(AND('Mapa final'!#REF!="Alta",'Mapa final'!#REF!="Catastrófico"),CONCATENATE("R8C",'Mapa final'!#REF!),"")</f>
        <v>#REF!</v>
      </c>
      <c r="AJ23" s="52" t="e">
        <f>IF(AND('Mapa final'!#REF!="Alta",'Mapa final'!#REF!="Catastrófico"),CONCATENATE("R8C",'Mapa final'!#REF!),"")</f>
        <v>#REF!</v>
      </c>
      <c r="AK23" s="52" t="e">
        <f>IF(AND('Mapa final'!#REF!="Alta",'Mapa final'!#REF!="Catastrófico"),CONCATENATE("R8C",'Mapa final'!#REF!),"")</f>
        <v>#REF!</v>
      </c>
      <c r="AL23" s="52" t="e">
        <f>IF(AND('Mapa final'!#REF!="Alta",'Mapa final'!#REF!="Catastrófico"),CONCATENATE("R8C",'Mapa final'!#REF!),"")</f>
        <v>#REF!</v>
      </c>
      <c r="AM23" s="53" t="e">
        <f>IF(AND('Mapa final'!#REF!="Alta",'Mapa final'!#REF!="Catastrófico"),CONCATENATE("R8C",'Mapa final'!#REF!),"")</f>
        <v>#REF!</v>
      </c>
      <c r="AN23" s="79"/>
      <c r="AO23" s="458"/>
      <c r="AP23" s="459"/>
      <c r="AQ23" s="459"/>
      <c r="AR23" s="459"/>
      <c r="AS23" s="459"/>
      <c r="AT23" s="460"/>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row>
    <row r="24" spans="1:76" ht="15" customHeight="1" x14ac:dyDescent="0.25">
      <c r="A24" s="79"/>
      <c r="B24" s="407"/>
      <c r="C24" s="407"/>
      <c r="D24" s="408"/>
      <c r="E24" s="448"/>
      <c r="F24" s="449"/>
      <c r="G24" s="449"/>
      <c r="H24" s="449"/>
      <c r="I24" s="449"/>
      <c r="J24" s="63" t="e">
        <f>IF(AND('Mapa final'!#REF!="Alta",'Mapa final'!#REF!="Leve"),CONCATENATE("R9C",'Mapa final'!#REF!),"")</f>
        <v>#REF!</v>
      </c>
      <c r="K24" s="64" t="e">
        <f>IF(AND('Mapa final'!#REF!="Alta",'Mapa final'!#REF!="Leve"),CONCATENATE("R9C",'Mapa final'!#REF!),"")</f>
        <v>#REF!</v>
      </c>
      <c r="L24" s="64" t="e">
        <f>IF(AND('Mapa final'!#REF!="Alta",'Mapa final'!#REF!="Leve"),CONCATENATE("R9C",'Mapa final'!#REF!),"")</f>
        <v>#REF!</v>
      </c>
      <c r="M24" s="64" t="e">
        <f>IF(AND('Mapa final'!#REF!="Alta",'Mapa final'!#REF!="Leve"),CONCATENATE("R9C",'Mapa final'!#REF!),"")</f>
        <v>#REF!</v>
      </c>
      <c r="N24" s="64" t="e">
        <f>IF(AND('Mapa final'!#REF!="Alta",'Mapa final'!#REF!="Leve"),CONCATENATE("R9C",'Mapa final'!#REF!),"")</f>
        <v>#REF!</v>
      </c>
      <c r="O24" s="65" t="e">
        <f>IF(AND('Mapa final'!#REF!="Alta",'Mapa final'!#REF!="Leve"),CONCATENATE("R9C",'Mapa final'!#REF!),"")</f>
        <v>#REF!</v>
      </c>
      <c r="P24" s="63" t="e">
        <f>IF(AND('Mapa final'!#REF!="Alta",'Mapa final'!#REF!="Menor"),CONCATENATE("R9C",'Mapa final'!#REF!),"")</f>
        <v>#REF!</v>
      </c>
      <c r="Q24" s="64" t="e">
        <f>IF(AND('Mapa final'!#REF!="Alta",'Mapa final'!#REF!="Menor"),CONCATENATE("R9C",'Mapa final'!#REF!),"")</f>
        <v>#REF!</v>
      </c>
      <c r="R24" s="64" t="e">
        <f>IF(AND('Mapa final'!#REF!="Alta",'Mapa final'!#REF!="Menor"),CONCATENATE("R9C",'Mapa final'!#REF!),"")</f>
        <v>#REF!</v>
      </c>
      <c r="S24" s="64" t="e">
        <f>IF(AND('Mapa final'!#REF!="Alta",'Mapa final'!#REF!="Menor"),CONCATENATE("R9C",'Mapa final'!#REF!),"")</f>
        <v>#REF!</v>
      </c>
      <c r="T24" s="64" t="e">
        <f>IF(AND('Mapa final'!#REF!="Alta",'Mapa final'!#REF!="Menor"),CONCATENATE("R9C",'Mapa final'!#REF!),"")</f>
        <v>#REF!</v>
      </c>
      <c r="U24" s="65" t="e">
        <f>IF(AND('Mapa final'!#REF!="Alta",'Mapa final'!#REF!="Menor"),CONCATENATE("R9C",'Mapa final'!#REF!),"")</f>
        <v>#REF!</v>
      </c>
      <c r="V24" s="48" t="e">
        <f>IF(AND('Mapa final'!#REF!="Alta",'Mapa final'!#REF!="Moderado"),CONCATENATE("R9C",'Mapa final'!#REF!),"")</f>
        <v>#REF!</v>
      </c>
      <c r="W24" s="49" t="e">
        <f>IF(AND('Mapa final'!#REF!="Alta",'Mapa final'!#REF!="Moderado"),CONCATENATE("R9C",'Mapa final'!#REF!),"")</f>
        <v>#REF!</v>
      </c>
      <c r="X24" s="49" t="e">
        <f>IF(AND('Mapa final'!#REF!="Alta",'Mapa final'!#REF!="Moderado"),CONCATENATE("R9C",'Mapa final'!#REF!),"")</f>
        <v>#REF!</v>
      </c>
      <c r="Y24" s="49" t="e">
        <f>IF(AND('Mapa final'!#REF!="Alta",'Mapa final'!#REF!="Moderado"),CONCATENATE("R9C",'Mapa final'!#REF!),"")</f>
        <v>#REF!</v>
      </c>
      <c r="Z24" s="49" t="e">
        <f>IF(AND('Mapa final'!#REF!="Alta",'Mapa final'!#REF!="Moderado"),CONCATENATE("R9C",'Mapa final'!#REF!),"")</f>
        <v>#REF!</v>
      </c>
      <c r="AA24" s="50" t="e">
        <f>IF(AND('Mapa final'!#REF!="Alta",'Mapa final'!#REF!="Moderado"),CONCATENATE("R9C",'Mapa final'!#REF!),"")</f>
        <v>#REF!</v>
      </c>
      <c r="AB24" s="48" t="e">
        <f>IF(AND('Mapa final'!#REF!="Alta",'Mapa final'!#REF!="Mayor"),CONCATENATE("R9C",'Mapa final'!#REF!),"")</f>
        <v>#REF!</v>
      </c>
      <c r="AC24" s="49" t="e">
        <f>IF(AND('Mapa final'!#REF!="Alta",'Mapa final'!#REF!="Mayor"),CONCATENATE("R9C",'Mapa final'!#REF!),"")</f>
        <v>#REF!</v>
      </c>
      <c r="AD24" s="49" t="e">
        <f>IF(AND('Mapa final'!#REF!="Alta",'Mapa final'!#REF!="Mayor"),CONCATENATE("R9C",'Mapa final'!#REF!),"")</f>
        <v>#REF!</v>
      </c>
      <c r="AE24" s="49" t="e">
        <f>IF(AND('Mapa final'!#REF!="Alta",'Mapa final'!#REF!="Mayor"),CONCATENATE("R9C",'Mapa final'!#REF!),"")</f>
        <v>#REF!</v>
      </c>
      <c r="AF24" s="49" t="e">
        <f>IF(AND('Mapa final'!#REF!="Alta",'Mapa final'!#REF!="Mayor"),CONCATENATE("R9C",'Mapa final'!#REF!),"")</f>
        <v>#REF!</v>
      </c>
      <c r="AG24" s="50" t="e">
        <f>IF(AND('Mapa final'!#REF!="Alta",'Mapa final'!#REF!="Mayor"),CONCATENATE("R9C",'Mapa final'!#REF!),"")</f>
        <v>#REF!</v>
      </c>
      <c r="AH24" s="51" t="e">
        <f>IF(AND('Mapa final'!#REF!="Alta",'Mapa final'!#REF!="Catastrófico"),CONCATENATE("R9C",'Mapa final'!#REF!),"")</f>
        <v>#REF!</v>
      </c>
      <c r="AI24" s="52" t="e">
        <f>IF(AND('Mapa final'!#REF!="Alta",'Mapa final'!#REF!="Catastrófico"),CONCATENATE("R9C",'Mapa final'!#REF!),"")</f>
        <v>#REF!</v>
      </c>
      <c r="AJ24" s="52" t="e">
        <f>IF(AND('Mapa final'!#REF!="Alta",'Mapa final'!#REF!="Catastrófico"),CONCATENATE("R9C",'Mapa final'!#REF!),"")</f>
        <v>#REF!</v>
      </c>
      <c r="AK24" s="52" t="e">
        <f>IF(AND('Mapa final'!#REF!="Alta",'Mapa final'!#REF!="Catastrófico"),CONCATENATE("R9C",'Mapa final'!#REF!),"")</f>
        <v>#REF!</v>
      </c>
      <c r="AL24" s="52" t="e">
        <f>IF(AND('Mapa final'!#REF!="Alta",'Mapa final'!#REF!="Catastrófico"),CONCATENATE("R9C",'Mapa final'!#REF!),"")</f>
        <v>#REF!</v>
      </c>
      <c r="AM24" s="53" t="e">
        <f>IF(AND('Mapa final'!#REF!="Alta",'Mapa final'!#REF!="Catastrófico"),CONCATENATE("R9C",'Mapa final'!#REF!),"")</f>
        <v>#REF!</v>
      </c>
      <c r="AN24" s="79"/>
      <c r="AO24" s="458"/>
      <c r="AP24" s="459"/>
      <c r="AQ24" s="459"/>
      <c r="AR24" s="459"/>
      <c r="AS24" s="459"/>
      <c r="AT24" s="460"/>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row>
    <row r="25" spans="1:76" ht="15.75" customHeight="1" thickBot="1" x14ac:dyDescent="0.3">
      <c r="A25" s="79"/>
      <c r="B25" s="407"/>
      <c r="C25" s="407"/>
      <c r="D25" s="408"/>
      <c r="E25" s="451"/>
      <c r="F25" s="452"/>
      <c r="G25" s="452"/>
      <c r="H25" s="452"/>
      <c r="I25" s="452"/>
      <c r="J25" s="66" t="e">
        <f>IF(AND('Mapa final'!#REF!="Alta",'Mapa final'!#REF!="Leve"),CONCATENATE("R10C",'Mapa final'!#REF!),"")</f>
        <v>#REF!</v>
      </c>
      <c r="K25" s="67" t="e">
        <f>IF(AND('Mapa final'!#REF!="Alta",'Mapa final'!#REF!="Leve"),CONCATENATE("R10C",'Mapa final'!#REF!),"")</f>
        <v>#REF!</v>
      </c>
      <c r="L25" s="67" t="e">
        <f>IF(AND('Mapa final'!#REF!="Alta",'Mapa final'!#REF!="Leve"),CONCATENATE("R10C",'Mapa final'!#REF!),"")</f>
        <v>#REF!</v>
      </c>
      <c r="M25" s="67" t="e">
        <f>IF(AND('Mapa final'!#REF!="Alta",'Mapa final'!#REF!="Leve"),CONCATENATE("R10C",'Mapa final'!#REF!),"")</f>
        <v>#REF!</v>
      </c>
      <c r="N25" s="67" t="e">
        <f>IF(AND('Mapa final'!#REF!="Alta",'Mapa final'!#REF!="Leve"),CONCATENATE("R10C",'Mapa final'!#REF!),"")</f>
        <v>#REF!</v>
      </c>
      <c r="O25" s="68" t="e">
        <f>IF(AND('Mapa final'!#REF!="Alta",'Mapa final'!#REF!="Leve"),CONCATENATE("R10C",'Mapa final'!#REF!),"")</f>
        <v>#REF!</v>
      </c>
      <c r="P25" s="66" t="e">
        <f>IF(AND('Mapa final'!#REF!="Alta",'Mapa final'!#REF!="Menor"),CONCATENATE("R10C",'Mapa final'!#REF!),"")</f>
        <v>#REF!</v>
      </c>
      <c r="Q25" s="67" t="e">
        <f>IF(AND('Mapa final'!#REF!="Alta",'Mapa final'!#REF!="Menor"),CONCATENATE("R10C",'Mapa final'!#REF!),"")</f>
        <v>#REF!</v>
      </c>
      <c r="R25" s="67" t="e">
        <f>IF(AND('Mapa final'!#REF!="Alta",'Mapa final'!#REF!="Menor"),CONCATENATE("R10C",'Mapa final'!#REF!),"")</f>
        <v>#REF!</v>
      </c>
      <c r="S25" s="67" t="e">
        <f>IF(AND('Mapa final'!#REF!="Alta",'Mapa final'!#REF!="Menor"),CONCATENATE("R10C",'Mapa final'!#REF!),"")</f>
        <v>#REF!</v>
      </c>
      <c r="T25" s="67" t="e">
        <f>IF(AND('Mapa final'!#REF!="Alta",'Mapa final'!#REF!="Menor"),CONCATENATE("R10C",'Mapa final'!#REF!),"")</f>
        <v>#REF!</v>
      </c>
      <c r="U25" s="68" t="e">
        <f>IF(AND('Mapa final'!#REF!="Alta",'Mapa final'!#REF!="Menor"),CONCATENATE("R10C",'Mapa final'!#REF!),"")</f>
        <v>#REF!</v>
      </c>
      <c r="V25" s="54" t="e">
        <f>IF(AND('Mapa final'!#REF!="Alta",'Mapa final'!#REF!="Moderado"),CONCATENATE("R10C",'Mapa final'!#REF!),"")</f>
        <v>#REF!</v>
      </c>
      <c r="W25" s="55" t="e">
        <f>IF(AND('Mapa final'!#REF!="Alta",'Mapa final'!#REF!="Moderado"),CONCATENATE("R10C",'Mapa final'!#REF!),"")</f>
        <v>#REF!</v>
      </c>
      <c r="X25" s="55" t="e">
        <f>IF(AND('Mapa final'!#REF!="Alta",'Mapa final'!#REF!="Moderado"),CONCATENATE("R10C",'Mapa final'!#REF!),"")</f>
        <v>#REF!</v>
      </c>
      <c r="Y25" s="55" t="e">
        <f>IF(AND('Mapa final'!#REF!="Alta",'Mapa final'!#REF!="Moderado"),CONCATENATE("R10C",'Mapa final'!#REF!),"")</f>
        <v>#REF!</v>
      </c>
      <c r="Z25" s="55" t="e">
        <f>IF(AND('Mapa final'!#REF!="Alta",'Mapa final'!#REF!="Moderado"),CONCATENATE("R10C",'Mapa final'!#REF!),"")</f>
        <v>#REF!</v>
      </c>
      <c r="AA25" s="56" t="e">
        <f>IF(AND('Mapa final'!#REF!="Alta",'Mapa final'!#REF!="Moderado"),CONCATENATE("R10C",'Mapa final'!#REF!),"")</f>
        <v>#REF!</v>
      </c>
      <c r="AB25" s="54" t="e">
        <f>IF(AND('Mapa final'!#REF!="Alta",'Mapa final'!#REF!="Mayor"),CONCATENATE("R10C",'Mapa final'!#REF!),"")</f>
        <v>#REF!</v>
      </c>
      <c r="AC25" s="55" t="e">
        <f>IF(AND('Mapa final'!#REF!="Alta",'Mapa final'!#REF!="Mayor"),CONCATENATE("R10C",'Mapa final'!#REF!),"")</f>
        <v>#REF!</v>
      </c>
      <c r="AD25" s="55" t="e">
        <f>IF(AND('Mapa final'!#REF!="Alta",'Mapa final'!#REF!="Mayor"),CONCATENATE("R10C",'Mapa final'!#REF!),"")</f>
        <v>#REF!</v>
      </c>
      <c r="AE25" s="55" t="e">
        <f>IF(AND('Mapa final'!#REF!="Alta",'Mapa final'!#REF!="Mayor"),CONCATENATE("R10C",'Mapa final'!#REF!),"")</f>
        <v>#REF!</v>
      </c>
      <c r="AF25" s="55" t="e">
        <f>IF(AND('Mapa final'!#REF!="Alta",'Mapa final'!#REF!="Mayor"),CONCATENATE("R10C",'Mapa final'!#REF!),"")</f>
        <v>#REF!</v>
      </c>
      <c r="AG25" s="56" t="e">
        <f>IF(AND('Mapa final'!#REF!="Alta",'Mapa final'!#REF!="Mayor"),CONCATENATE("R10C",'Mapa final'!#REF!),"")</f>
        <v>#REF!</v>
      </c>
      <c r="AH25" s="57" t="e">
        <f>IF(AND('Mapa final'!#REF!="Alta",'Mapa final'!#REF!="Catastrófico"),CONCATENATE("R10C",'Mapa final'!#REF!),"")</f>
        <v>#REF!</v>
      </c>
      <c r="AI25" s="58" t="e">
        <f>IF(AND('Mapa final'!#REF!="Alta",'Mapa final'!#REF!="Catastrófico"),CONCATENATE("R10C",'Mapa final'!#REF!),"")</f>
        <v>#REF!</v>
      </c>
      <c r="AJ25" s="58" t="e">
        <f>IF(AND('Mapa final'!#REF!="Alta",'Mapa final'!#REF!="Catastrófico"),CONCATENATE("R10C",'Mapa final'!#REF!),"")</f>
        <v>#REF!</v>
      </c>
      <c r="AK25" s="58" t="e">
        <f>IF(AND('Mapa final'!#REF!="Alta",'Mapa final'!#REF!="Catastrófico"),CONCATENATE("R10C",'Mapa final'!#REF!),"")</f>
        <v>#REF!</v>
      </c>
      <c r="AL25" s="58" t="e">
        <f>IF(AND('Mapa final'!#REF!="Alta",'Mapa final'!#REF!="Catastrófico"),CONCATENATE("R10C",'Mapa final'!#REF!),"")</f>
        <v>#REF!</v>
      </c>
      <c r="AM25" s="59" t="e">
        <f>IF(AND('Mapa final'!#REF!="Alta",'Mapa final'!#REF!="Catastrófico"),CONCATENATE("R10C",'Mapa final'!#REF!),"")</f>
        <v>#REF!</v>
      </c>
      <c r="AN25" s="79"/>
      <c r="AO25" s="461"/>
      <c r="AP25" s="462"/>
      <c r="AQ25" s="462"/>
      <c r="AR25" s="462"/>
      <c r="AS25" s="462"/>
      <c r="AT25" s="463"/>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row>
    <row r="26" spans="1:76" ht="15" customHeight="1" x14ac:dyDescent="0.25">
      <c r="A26" s="79"/>
      <c r="B26" s="407"/>
      <c r="C26" s="407"/>
      <c r="D26" s="408"/>
      <c r="E26" s="445" t="s">
        <v>117</v>
      </c>
      <c r="F26" s="446"/>
      <c r="G26" s="446"/>
      <c r="H26" s="446"/>
      <c r="I26" s="447"/>
      <c r="J26" s="60" t="e">
        <f>IF(AND('Mapa final'!#REF!="Media",'Mapa final'!#REF!="Leve"),CONCATENATE("R1C",'Mapa final'!#REF!),"")</f>
        <v>#REF!</v>
      </c>
      <c r="K26" s="61" t="e">
        <f>IF(AND('Mapa final'!#REF!="Media",'Mapa final'!#REF!="Leve"),CONCATENATE("R1C",'Mapa final'!#REF!),"")</f>
        <v>#REF!</v>
      </c>
      <c r="L26" s="61" t="e">
        <f>IF(AND('Mapa final'!#REF!="Media",'Mapa final'!#REF!="Leve"),CONCATENATE("R1C",'Mapa final'!#REF!),"")</f>
        <v>#REF!</v>
      </c>
      <c r="M26" s="61" t="str">
        <f>IF(AND('Mapa final'!$Y$10="Media",'Mapa final'!$AA$10="Leve"),CONCATENATE("R1C",'Mapa final'!$O$10),"")</f>
        <v/>
      </c>
      <c r="N26" s="61" t="str">
        <f>IF(AND('Mapa final'!$Y$14="Media",'Mapa final'!$AA$14="Leve"),CONCATENATE("R1C",'Mapa final'!$O$14),"")</f>
        <v/>
      </c>
      <c r="O26" s="62" t="str">
        <f>IF(AND('Mapa final'!$Y$17="Media",'Mapa final'!$AA$17="Leve"),CONCATENATE("R1C",'Mapa final'!$O$17),"")</f>
        <v/>
      </c>
      <c r="P26" s="60" t="e">
        <f>IF(AND('Mapa final'!#REF!="Media",'Mapa final'!#REF!="Menor"),CONCATENATE("R1C",'Mapa final'!#REF!),"")</f>
        <v>#REF!</v>
      </c>
      <c r="Q26" s="61" t="e">
        <f>IF(AND('Mapa final'!#REF!="Media",'Mapa final'!#REF!="Menor"),CONCATENATE("R1C",'Mapa final'!#REF!),"")</f>
        <v>#REF!</v>
      </c>
      <c r="R26" s="61" t="e">
        <f>IF(AND('Mapa final'!#REF!="Media",'Mapa final'!#REF!="Menor"),CONCATENATE("R1C",'Mapa final'!#REF!),"")</f>
        <v>#REF!</v>
      </c>
      <c r="S26" s="61" t="str">
        <f>IF(AND('Mapa final'!$Y$10="Media",'Mapa final'!$AA$10="Menor"),CONCATENATE("R1C",'Mapa final'!$O$10),"")</f>
        <v/>
      </c>
      <c r="T26" s="61" t="str">
        <f>IF(AND('Mapa final'!$Y$14="Media",'Mapa final'!$AA$14="Menor"),CONCATENATE("R1C",'Mapa final'!$O$14),"")</f>
        <v/>
      </c>
      <c r="U26" s="62" t="str">
        <f>IF(AND('Mapa final'!$Y$17="Media",'Mapa final'!$AA$17="Menor"),CONCATENATE("R1C",'Mapa final'!$O$17),"")</f>
        <v/>
      </c>
      <c r="V26" s="60" t="e">
        <f>IF(AND('Mapa final'!#REF!="Media",'Mapa final'!#REF!="Moderado"),CONCATENATE("R1C",'Mapa final'!#REF!),"")</f>
        <v>#REF!</v>
      </c>
      <c r="W26" s="61" t="e">
        <f>IF(AND('Mapa final'!#REF!="Media",'Mapa final'!#REF!="Moderado"),CONCATENATE("R1C",'Mapa final'!#REF!),"")</f>
        <v>#REF!</v>
      </c>
      <c r="X26" s="61" t="e">
        <f>IF(AND('Mapa final'!#REF!="Media",'Mapa final'!#REF!="Moderado"),CONCATENATE("R1C",'Mapa final'!#REF!),"")</f>
        <v>#REF!</v>
      </c>
      <c r="Y26" s="61" t="str">
        <f>IF(AND('Mapa final'!$Y$10="Media",'Mapa final'!$AA$10="Moderado"),CONCATENATE("R1C",'Mapa final'!$O$10),"")</f>
        <v>R1C1</v>
      </c>
      <c r="Z26" s="61" t="str">
        <f>IF(AND('Mapa final'!$Y$14="Media",'Mapa final'!$AA$14="Moderado"),CONCATENATE("R1C",'Mapa final'!$O$14),"")</f>
        <v>R1C1</v>
      </c>
      <c r="AA26" s="62" t="str">
        <f>IF(AND('Mapa final'!$Y$17="Media",'Mapa final'!$AA$17="Moderado"),CONCATENATE("R1C",'Mapa final'!$O$17),"")</f>
        <v/>
      </c>
      <c r="AB26" s="42" t="e">
        <f>IF(AND('Mapa final'!#REF!="Media",'Mapa final'!#REF!="Mayor"),CONCATENATE("R1C",'Mapa final'!#REF!),"")</f>
        <v>#REF!</v>
      </c>
      <c r="AC26" s="43" t="e">
        <f>IF(AND('Mapa final'!#REF!="Media",'Mapa final'!#REF!="Mayor"),CONCATENATE("R1C",'Mapa final'!#REF!),"")</f>
        <v>#REF!</v>
      </c>
      <c r="AD26" s="43" t="e">
        <f>IF(AND('Mapa final'!#REF!="Media",'Mapa final'!#REF!="Mayor"),CONCATENATE("R1C",'Mapa final'!#REF!),"")</f>
        <v>#REF!</v>
      </c>
      <c r="AE26" s="43" t="str">
        <f>IF(AND('Mapa final'!$Y$10="Media",'Mapa final'!$AA$10="Mayor"),CONCATENATE("R1C",'Mapa final'!$O$10),"")</f>
        <v/>
      </c>
      <c r="AF26" s="43" t="str">
        <f>IF(AND('Mapa final'!$Y$14="Media",'Mapa final'!$AA$14="Mayor"),CONCATENATE("R1C",'Mapa final'!$O$14),"")</f>
        <v/>
      </c>
      <c r="AG26" s="44" t="str">
        <f>IF(AND('Mapa final'!$Y$17="Media",'Mapa final'!$AA$17="Mayor"),CONCATENATE("R1C",'Mapa final'!$O$17),"")</f>
        <v/>
      </c>
      <c r="AH26" s="45" t="e">
        <f>IF(AND('Mapa final'!#REF!="Media",'Mapa final'!#REF!="Catastrófico"),CONCATENATE("R1C",'Mapa final'!#REF!),"")</f>
        <v>#REF!</v>
      </c>
      <c r="AI26" s="46" t="e">
        <f>IF(AND('Mapa final'!#REF!="Media",'Mapa final'!#REF!="Catastrófico"),CONCATENATE("R1C",'Mapa final'!#REF!),"")</f>
        <v>#REF!</v>
      </c>
      <c r="AJ26" s="46" t="e">
        <f>IF(AND('Mapa final'!#REF!="Media",'Mapa final'!#REF!="Catastrófico"),CONCATENATE("R1C",'Mapa final'!#REF!),"")</f>
        <v>#REF!</v>
      </c>
      <c r="AK26" s="46" t="str">
        <f>IF(AND('Mapa final'!$Y$10="Media",'Mapa final'!$AA$10="Catastrófico"),CONCATENATE("R1C",'Mapa final'!$O$10),"")</f>
        <v/>
      </c>
      <c r="AL26" s="46" t="str">
        <f>IF(AND('Mapa final'!$Y$14="Media",'Mapa final'!$AA$14="Catastrófico"),CONCATENATE("R1C",'Mapa final'!$O$14),"")</f>
        <v/>
      </c>
      <c r="AM26" s="47" t="str">
        <f>IF(AND('Mapa final'!$Y$17="Media",'Mapa final'!$AA$17="Catastrófico"),CONCATENATE("R1C",'Mapa final'!$O$17),"")</f>
        <v/>
      </c>
      <c r="AN26" s="79"/>
      <c r="AO26" s="485" t="s">
        <v>81</v>
      </c>
      <c r="AP26" s="486"/>
      <c r="AQ26" s="486"/>
      <c r="AR26" s="486"/>
      <c r="AS26" s="486"/>
      <c r="AT26" s="487"/>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row>
    <row r="27" spans="1:76" ht="15" customHeight="1" x14ac:dyDescent="0.25">
      <c r="A27" s="79"/>
      <c r="B27" s="407"/>
      <c r="C27" s="407"/>
      <c r="D27" s="408"/>
      <c r="E27" s="464"/>
      <c r="F27" s="449"/>
      <c r="G27" s="449"/>
      <c r="H27" s="449"/>
      <c r="I27" s="450"/>
      <c r="J27" s="63" t="str">
        <f>IF(AND('Mapa final'!$Y$19="Media",'Mapa final'!$AA$19="Leve"),CONCATENATE("R2C",'Mapa final'!$O$19),"")</f>
        <v/>
      </c>
      <c r="K27" s="64" t="str">
        <f>IF(AND('Mapa final'!$Y$22="Media",'Mapa final'!$AA$22="Leve"),CONCATENATE("R2C",'Mapa final'!$O$22),"")</f>
        <v/>
      </c>
      <c r="L27" s="64" t="str">
        <f>IF(AND('Mapa final'!$Y$25="Media",'Mapa final'!$AA$25="Leve"),CONCATENATE("R2C",'Mapa final'!$O$25),"")</f>
        <v/>
      </c>
      <c r="M27" s="64" t="str">
        <f>IF(AND('Mapa final'!$Y$26="Media",'Mapa final'!$AA$26="Leve"),CONCATENATE("R2C",'Mapa final'!$O$26),"")</f>
        <v/>
      </c>
      <c r="N27" s="64" t="str">
        <f>IF(AND('Mapa final'!$Y$27="Media",'Mapa final'!$AA$27="Leve"),CONCATENATE("R2C",'Mapa final'!$O$27),"")</f>
        <v/>
      </c>
      <c r="O27" s="65" t="str">
        <f>IF(AND('Mapa final'!$Y$28="Media",'Mapa final'!$AA$28="Leve"),CONCATENATE("R2C",'Mapa final'!$O$28),"")</f>
        <v/>
      </c>
      <c r="P27" s="63" t="str">
        <f>IF(AND('Mapa final'!$Y$19="Media",'Mapa final'!$AA$19="Menor"),CONCATENATE("R2C",'Mapa final'!$O$19),"")</f>
        <v/>
      </c>
      <c r="Q27" s="64" t="str">
        <f>IF(AND('Mapa final'!$Y$22="Media",'Mapa final'!$AA$22="Menor"),CONCATENATE("R2C",'Mapa final'!$O$22),"")</f>
        <v/>
      </c>
      <c r="R27" s="64" t="str">
        <f>IF(AND('Mapa final'!$Y$25="Media",'Mapa final'!$AA$25="Menor"),CONCATENATE("R2C",'Mapa final'!$O$25),"")</f>
        <v/>
      </c>
      <c r="S27" s="64" t="str">
        <f>IF(AND('Mapa final'!$Y$26="Media",'Mapa final'!$AA$26="Menor"),CONCATENATE("R2C",'Mapa final'!$O$26),"")</f>
        <v/>
      </c>
      <c r="T27" s="64" t="str">
        <f>IF(AND('Mapa final'!$Y$27="Media",'Mapa final'!$AA$27="Menor"),CONCATENATE("R2C",'Mapa final'!$O$27),"")</f>
        <v/>
      </c>
      <c r="U27" s="65" t="str">
        <f>IF(AND('Mapa final'!$Y$28="Media",'Mapa final'!$AA$28="Menor"),CONCATENATE("R2C",'Mapa final'!$O$28),"")</f>
        <v/>
      </c>
      <c r="V27" s="63" t="str">
        <f>IF(AND('Mapa final'!$Y$19="Media",'Mapa final'!$AA$19="Moderado"),CONCATENATE("R2C",'Mapa final'!$O$19),"")</f>
        <v/>
      </c>
      <c r="W27" s="64" t="str">
        <f>IF(AND('Mapa final'!$Y$22="Media",'Mapa final'!$AA$22="Moderado"),CONCATENATE("R2C",'Mapa final'!$O$22),"")</f>
        <v/>
      </c>
      <c r="X27" s="64" t="str">
        <f>IF(AND('Mapa final'!$Y$25="Media",'Mapa final'!$AA$25="Moderado"),CONCATENATE("R2C",'Mapa final'!$O$25),"")</f>
        <v/>
      </c>
      <c r="Y27" s="64" t="str">
        <f>IF(AND('Mapa final'!$Y$26="Media",'Mapa final'!$AA$26="Moderado"),CONCATENATE("R2C",'Mapa final'!$O$26),"")</f>
        <v>R2C1</v>
      </c>
      <c r="Z27" s="64" t="str">
        <f>IF(AND('Mapa final'!$Y$27="Media",'Mapa final'!$AA$27="Moderado"),CONCATENATE("R2C",'Mapa final'!$O$27),"")</f>
        <v/>
      </c>
      <c r="AA27" s="65" t="str">
        <f>IF(AND('Mapa final'!$Y$28="Media",'Mapa final'!$AA$28="Moderado"),CONCATENATE("R2C",'Mapa final'!$O$28),"")</f>
        <v>R2C1</v>
      </c>
      <c r="AB27" s="48" t="str">
        <f>IF(AND('Mapa final'!$Y$19="Media",'Mapa final'!$AA$19="Mayor"),CONCATENATE("R2C",'Mapa final'!$O$19),"")</f>
        <v/>
      </c>
      <c r="AC27" s="49" t="str">
        <f>IF(AND('Mapa final'!$Y$22="Media",'Mapa final'!$AA$22="Mayor"),CONCATENATE("R2C",'Mapa final'!$O$22),"")</f>
        <v/>
      </c>
      <c r="AD27" s="49" t="str">
        <f>IF(AND('Mapa final'!$Y$25="Media",'Mapa final'!$AA$25="Mayor"),CONCATENATE("R2C",'Mapa final'!$O$25),"")</f>
        <v/>
      </c>
      <c r="AE27" s="49" t="str">
        <f>IF(AND('Mapa final'!$Y$26="Media",'Mapa final'!$AA$26="Mayor"),CONCATENATE("R2C",'Mapa final'!$O$26),"")</f>
        <v/>
      </c>
      <c r="AF27" s="49" t="str">
        <f>IF(AND('Mapa final'!$Y$27="Media",'Mapa final'!$AA$27="Mayor"),CONCATENATE("R2C",'Mapa final'!$O$27),"")</f>
        <v/>
      </c>
      <c r="AG27" s="50" t="str">
        <f>IF(AND('Mapa final'!$Y$28="Media",'Mapa final'!$AA$28="Mayor"),CONCATENATE("R2C",'Mapa final'!$O$28),"")</f>
        <v/>
      </c>
      <c r="AH27" s="51" t="str">
        <f>IF(AND('Mapa final'!$Y$19="Media",'Mapa final'!$AA$19="Catastrófico"),CONCATENATE("R2C",'Mapa final'!$O$19),"")</f>
        <v/>
      </c>
      <c r="AI27" s="52" t="str">
        <f>IF(AND('Mapa final'!$Y$22="Media",'Mapa final'!$AA$22="Catastrófico"),CONCATENATE("R2C",'Mapa final'!$O$22),"")</f>
        <v/>
      </c>
      <c r="AJ27" s="52" t="str">
        <f>IF(AND('Mapa final'!$Y$25="Media",'Mapa final'!$AA$25="Catastrófico"),CONCATENATE("R2C",'Mapa final'!$O$25),"")</f>
        <v/>
      </c>
      <c r="AK27" s="52" t="str">
        <f>IF(AND('Mapa final'!$Y$26="Media",'Mapa final'!$AA$26="Catastrófico"),CONCATENATE("R2C",'Mapa final'!$O$26),"")</f>
        <v/>
      </c>
      <c r="AL27" s="52" t="str">
        <f>IF(AND('Mapa final'!$Y$27="Media",'Mapa final'!$AA$27="Catastrófico"),CONCATENATE("R2C",'Mapa final'!$O$27),"")</f>
        <v/>
      </c>
      <c r="AM27" s="53" t="str">
        <f>IF(AND('Mapa final'!$Y$28="Media",'Mapa final'!$AA$28="Catastrófico"),CONCATENATE("R2C",'Mapa final'!$O$28),"")</f>
        <v/>
      </c>
      <c r="AN27" s="79"/>
      <c r="AO27" s="488"/>
      <c r="AP27" s="489"/>
      <c r="AQ27" s="489"/>
      <c r="AR27" s="489"/>
      <c r="AS27" s="489"/>
      <c r="AT27" s="490"/>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row>
    <row r="28" spans="1:76" ht="15" customHeight="1" x14ac:dyDescent="0.25">
      <c r="A28" s="79"/>
      <c r="B28" s="407"/>
      <c r="C28" s="407"/>
      <c r="D28" s="408"/>
      <c r="E28" s="448"/>
      <c r="F28" s="449"/>
      <c r="G28" s="449"/>
      <c r="H28" s="449"/>
      <c r="I28" s="450"/>
      <c r="J28" s="63" t="str">
        <f>IF(AND('Mapa final'!$Y$29="Media",'Mapa final'!$AA$29="Leve"),CONCATENATE("R3C",'Mapa final'!$O$29),"")</f>
        <v/>
      </c>
      <c r="K28" s="64" t="e">
        <f>IF(AND('Mapa final'!#REF!="Media",'Mapa final'!#REF!="Leve"),CONCATENATE("R3C",'Mapa final'!#REF!),"")</f>
        <v>#REF!</v>
      </c>
      <c r="L28" s="64" t="e">
        <f>IF(AND('Mapa final'!#REF!="Media",'Mapa final'!#REF!="Leve"),CONCATENATE("R3C",'Mapa final'!#REF!),"")</f>
        <v>#REF!</v>
      </c>
      <c r="M28" s="64" t="e">
        <f>IF(AND('Mapa final'!#REF!="Media",'Mapa final'!#REF!="Leve"),CONCATENATE("R3C",'Mapa final'!#REF!),"")</f>
        <v>#REF!</v>
      </c>
      <c r="N28" s="64" t="e">
        <f>IF(AND('Mapa final'!#REF!="Media",'Mapa final'!#REF!="Leve"),CONCATENATE("R3C",'Mapa final'!#REF!),"")</f>
        <v>#REF!</v>
      </c>
      <c r="O28" s="65" t="e">
        <f>IF(AND('Mapa final'!#REF!="Media",'Mapa final'!#REF!="Leve"),CONCATENATE("R3C",'Mapa final'!#REF!),"")</f>
        <v>#REF!</v>
      </c>
      <c r="P28" s="63" t="str">
        <f>IF(AND('Mapa final'!$Y$29="Media",'Mapa final'!$AA$29="Menor"),CONCATENATE("R3C",'Mapa final'!$O$29),"")</f>
        <v/>
      </c>
      <c r="Q28" s="64" t="e">
        <f>IF(AND('Mapa final'!#REF!="Media",'Mapa final'!#REF!="Menor"),CONCATENATE("R3C",'Mapa final'!#REF!),"")</f>
        <v>#REF!</v>
      </c>
      <c r="R28" s="64" t="e">
        <f>IF(AND('Mapa final'!#REF!="Media",'Mapa final'!#REF!="Menor"),CONCATENATE("R3C",'Mapa final'!#REF!),"")</f>
        <v>#REF!</v>
      </c>
      <c r="S28" s="64" t="e">
        <f>IF(AND('Mapa final'!#REF!="Media",'Mapa final'!#REF!="Menor"),CONCATENATE("R3C",'Mapa final'!#REF!),"")</f>
        <v>#REF!</v>
      </c>
      <c r="T28" s="64" t="e">
        <f>IF(AND('Mapa final'!#REF!="Media",'Mapa final'!#REF!="Menor"),CONCATENATE("R3C",'Mapa final'!#REF!),"")</f>
        <v>#REF!</v>
      </c>
      <c r="U28" s="65" t="e">
        <f>IF(AND('Mapa final'!#REF!="Media",'Mapa final'!#REF!="Menor"),CONCATENATE("R3C",'Mapa final'!#REF!),"")</f>
        <v>#REF!</v>
      </c>
      <c r="V28" s="63" t="str">
        <f>IF(AND('Mapa final'!$Y$29="Media",'Mapa final'!$AA$29="Moderado"),CONCATENATE("R3C",'Mapa final'!$O$29),"")</f>
        <v>R3C1</v>
      </c>
      <c r="W28" s="64" t="e">
        <f>IF(AND('Mapa final'!#REF!="Media",'Mapa final'!#REF!="Moderado"),CONCATENATE("R3C",'Mapa final'!#REF!),"")</f>
        <v>#REF!</v>
      </c>
      <c r="X28" s="64" t="e">
        <f>IF(AND('Mapa final'!#REF!="Media",'Mapa final'!#REF!="Moderado"),CONCATENATE("R3C",'Mapa final'!#REF!),"")</f>
        <v>#REF!</v>
      </c>
      <c r="Y28" s="64" t="e">
        <f>IF(AND('Mapa final'!#REF!="Media",'Mapa final'!#REF!="Moderado"),CONCATENATE("R3C",'Mapa final'!#REF!),"")</f>
        <v>#REF!</v>
      </c>
      <c r="Z28" s="64" t="e">
        <f>IF(AND('Mapa final'!#REF!="Media",'Mapa final'!#REF!="Moderado"),CONCATENATE("R3C",'Mapa final'!#REF!),"")</f>
        <v>#REF!</v>
      </c>
      <c r="AA28" s="65" t="e">
        <f>IF(AND('Mapa final'!#REF!="Media",'Mapa final'!#REF!="Moderado"),CONCATENATE("R3C",'Mapa final'!#REF!),"")</f>
        <v>#REF!</v>
      </c>
      <c r="AB28" s="48" t="str">
        <f>IF(AND('Mapa final'!$Y$29="Media",'Mapa final'!$AA$29="Mayor"),CONCATENATE("R3C",'Mapa final'!$O$29),"")</f>
        <v/>
      </c>
      <c r="AC28" s="49" t="e">
        <f>IF(AND('Mapa final'!#REF!="Media",'Mapa final'!#REF!="Mayor"),CONCATENATE("R3C",'Mapa final'!#REF!),"")</f>
        <v>#REF!</v>
      </c>
      <c r="AD28" s="49" t="e">
        <f>IF(AND('Mapa final'!#REF!="Media",'Mapa final'!#REF!="Mayor"),CONCATENATE("R3C",'Mapa final'!#REF!),"")</f>
        <v>#REF!</v>
      </c>
      <c r="AE28" s="49" t="e">
        <f>IF(AND('Mapa final'!#REF!="Media",'Mapa final'!#REF!="Mayor"),CONCATENATE("R3C",'Mapa final'!#REF!),"")</f>
        <v>#REF!</v>
      </c>
      <c r="AF28" s="49" t="e">
        <f>IF(AND('Mapa final'!#REF!="Media",'Mapa final'!#REF!="Mayor"),CONCATENATE("R3C",'Mapa final'!#REF!),"")</f>
        <v>#REF!</v>
      </c>
      <c r="AG28" s="50" t="e">
        <f>IF(AND('Mapa final'!#REF!="Media",'Mapa final'!#REF!="Mayor"),CONCATENATE("R3C",'Mapa final'!#REF!),"")</f>
        <v>#REF!</v>
      </c>
      <c r="AH28" s="51" t="str">
        <f>IF(AND('Mapa final'!$Y$29="Media",'Mapa final'!$AA$29="Catastrófico"),CONCATENATE("R3C",'Mapa final'!$O$29),"")</f>
        <v/>
      </c>
      <c r="AI28" s="52" t="e">
        <f>IF(AND('Mapa final'!#REF!="Media",'Mapa final'!#REF!="Catastrófico"),CONCATENATE("R3C",'Mapa final'!#REF!),"")</f>
        <v>#REF!</v>
      </c>
      <c r="AJ28" s="52" t="e">
        <f>IF(AND('Mapa final'!#REF!="Media",'Mapa final'!#REF!="Catastrófico"),CONCATENATE("R3C",'Mapa final'!#REF!),"")</f>
        <v>#REF!</v>
      </c>
      <c r="AK28" s="52" t="e">
        <f>IF(AND('Mapa final'!#REF!="Media",'Mapa final'!#REF!="Catastrófico"),CONCATENATE("R3C",'Mapa final'!#REF!),"")</f>
        <v>#REF!</v>
      </c>
      <c r="AL28" s="52" t="e">
        <f>IF(AND('Mapa final'!#REF!="Media",'Mapa final'!#REF!="Catastrófico"),CONCATENATE("R3C",'Mapa final'!#REF!),"")</f>
        <v>#REF!</v>
      </c>
      <c r="AM28" s="53" t="e">
        <f>IF(AND('Mapa final'!#REF!="Media",'Mapa final'!#REF!="Catastrófico"),CONCATENATE("R3C",'Mapa final'!#REF!),"")</f>
        <v>#REF!</v>
      </c>
      <c r="AN28" s="79"/>
      <c r="AO28" s="488"/>
      <c r="AP28" s="489"/>
      <c r="AQ28" s="489"/>
      <c r="AR28" s="489"/>
      <c r="AS28" s="489"/>
      <c r="AT28" s="490"/>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row>
    <row r="29" spans="1:76" ht="15" customHeight="1" x14ac:dyDescent="0.25">
      <c r="A29" s="79"/>
      <c r="B29" s="407"/>
      <c r="C29" s="407"/>
      <c r="D29" s="408"/>
      <c r="E29" s="448"/>
      <c r="F29" s="449"/>
      <c r="G29" s="449"/>
      <c r="H29" s="449"/>
      <c r="I29" s="450"/>
      <c r="J29" s="63" t="str">
        <f>IF(AND('Mapa final'!$Y$43="Media",'Mapa final'!$AA$43="Leve"),CONCATENATE("R4C",'Mapa final'!$O$43),"")</f>
        <v/>
      </c>
      <c r="K29" s="64" t="str">
        <f>IF(AND('Mapa final'!$Y$44="Media",'Mapa final'!$AA$44="Leve"),CONCATENATE("R4C",'Mapa final'!$O$44),"")</f>
        <v/>
      </c>
      <c r="L29" s="64" t="str">
        <f>IF(AND('Mapa final'!$Y$45="Media",'Mapa final'!$AA$45="Leve"),CONCATENATE("R4C",'Mapa final'!$O$45),"")</f>
        <v/>
      </c>
      <c r="M29" s="64" t="str">
        <f>IF(AND('Mapa final'!$Y$46="Media",'Mapa final'!$AA$46="Leve"),CONCATENATE("R4C",'Mapa final'!$O$46),"")</f>
        <v/>
      </c>
      <c r="N29" s="64" t="str">
        <f>IF(AND('Mapa final'!$Y$47="Media",'Mapa final'!$AA$47="Leve"),CONCATENATE("R4C",'Mapa final'!$O$47),"")</f>
        <v/>
      </c>
      <c r="O29" s="65" t="str">
        <f>IF(AND('Mapa final'!$Y$48="Media",'Mapa final'!$AA$48="Leve"),CONCATENATE("R4C",'Mapa final'!$O$48),"")</f>
        <v/>
      </c>
      <c r="P29" s="63" t="str">
        <f>IF(AND('Mapa final'!$Y$43="Media",'Mapa final'!$AA$43="Menor"),CONCATENATE("R4C",'Mapa final'!$O$43),"")</f>
        <v/>
      </c>
      <c r="Q29" s="64" t="str">
        <f>IF(AND('Mapa final'!$Y$44="Media",'Mapa final'!$AA$44="Menor"),CONCATENATE("R4C",'Mapa final'!$O$44),"")</f>
        <v/>
      </c>
      <c r="R29" s="64" t="str">
        <f>IF(AND('Mapa final'!$Y$45="Media",'Mapa final'!$AA$45="Menor"),CONCATENATE("R4C",'Mapa final'!$O$45),"")</f>
        <v/>
      </c>
      <c r="S29" s="64" t="str">
        <f>IF(AND('Mapa final'!$Y$46="Media",'Mapa final'!$AA$46="Menor"),CONCATENATE("R4C",'Mapa final'!$O$46),"")</f>
        <v/>
      </c>
      <c r="T29" s="64" t="str">
        <f>IF(AND('Mapa final'!$Y$47="Media",'Mapa final'!$AA$47="Menor"),CONCATENATE("R4C",'Mapa final'!$O$47),"")</f>
        <v/>
      </c>
      <c r="U29" s="65" t="str">
        <f>IF(AND('Mapa final'!$Y$48="Media",'Mapa final'!$AA$48="Menor"),CONCATENATE("R4C",'Mapa final'!$O$48),"")</f>
        <v/>
      </c>
      <c r="V29" s="63" t="str">
        <f>IF(AND('Mapa final'!$Y$43="Media",'Mapa final'!$AA$43="Moderado"),CONCATENATE("R4C",'Mapa final'!$O$43),"")</f>
        <v>R4C1</v>
      </c>
      <c r="W29" s="64" t="str">
        <f>IF(AND('Mapa final'!$Y$44="Media",'Mapa final'!$AA$44="Moderado"),CONCATENATE("R4C",'Mapa final'!$O$44),"")</f>
        <v>R4C1</v>
      </c>
      <c r="X29" s="64" t="str">
        <f>IF(AND('Mapa final'!$Y$45="Media",'Mapa final'!$AA$45="Moderado"),CONCATENATE("R4C",'Mapa final'!$O$45),"")</f>
        <v/>
      </c>
      <c r="Y29" s="64" t="str">
        <f>IF(AND('Mapa final'!$Y$46="Media",'Mapa final'!$AA$46="Moderado"),CONCATENATE("R4C",'Mapa final'!$O$46),"")</f>
        <v/>
      </c>
      <c r="Z29" s="64" t="str">
        <f>IF(AND('Mapa final'!$Y$47="Media",'Mapa final'!$AA$47="Moderado"),CONCATENATE("R4C",'Mapa final'!$O$47),"")</f>
        <v/>
      </c>
      <c r="AA29" s="65" t="str">
        <f>IF(AND('Mapa final'!$Y$48="Media",'Mapa final'!$AA$48="Moderado"),CONCATENATE("R4C",'Mapa final'!$O$48),"")</f>
        <v/>
      </c>
      <c r="AB29" s="48" t="str">
        <f>IF(AND('Mapa final'!$Y$43="Media",'Mapa final'!$AA$43="Mayor"),CONCATENATE("R4C",'Mapa final'!$O$43),"")</f>
        <v/>
      </c>
      <c r="AC29" s="49" t="str">
        <f>IF(AND('Mapa final'!$Y$44="Media",'Mapa final'!$AA$44="Mayor"),CONCATENATE("R4C",'Mapa final'!$O$44),"")</f>
        <v/>
      </c>
      <c r="AD29" s="49" t="str">
        <f>IF(AND('Mapa final'!$Y$45="Media",'Mapa final'!$AA$45="Mayor"),CONCATENATE("R4C",'Mapa final'!$O$45),"")</f>
        <v/>
      </c>
      <c r="AE29" s="49" t="str">
        <f>IF(AND('Mapa final'!$Y$46="Media",'Mapa final'!$AA$46="Mayor"),CONCATENATE("R4C",'Mapa final'!$O$46),"")</f>
        <v/>
      </c>
      <c r="AF29" s="49" t="str">
        <f>IF(AND('Mapa final'!$Y$47="Media",'Mapa final'!$AA$47="Mayor"),CONCATENATE("R4C",'Mapa final'!$O$47),"")</f>
        <v/>
      </c>
      <c r="AG29" s="50" t="str">
        <f>IF(AND('Mapa final'!$Y$48="Media",'Mapa final'!$AA$48="Mayor"),CONCATENATE("R4C",'Mapa final'!$O$48),"")</f>
        <v/>
      </c>
      <c r="AH29" s="51" t="str">
        <f>IF(AND('Mapa final'!$Y$43="Media",'Mapa final'!$AA$43="Catastrófico"),CONCATENATE("R4C",'Mapa final'!$O$43),"")</f>
        <v/>
      </c>
      <c r="AI29" s="52" t="str">
        <f>IF(AND('Mapa final'!$Y$44="Media",'Mapa final'!$AA$44="Catastrófico"),CONCATENATE("R4C",'Mapa final'!$O$44),"")</f>
        <v/>
      </c>
      <c r="AJ29" s="52" t="str">
        <f>IF(AND('Mapa final'!$Y$45="Media",'Mapa final'!$AA$45="Catastrófico"),CONCATENATE("R4C",'Mapa final'!$O$45),"")</f>
        <v/>
      </c>
      <c r="AK29" s="52" t="str">
        <f>IF(AND('Mapa final'!$Y$46="Media",'Mapa final'!$AA$46="Catastrófico"),CONCATENATE("R4C",'Mapa final'!$O$46),"")</f>
        <v/>
      </c>
      <c r="AL29" s="52" t="str">
        <f>IF(AND('Mapa final'!$Y$47="Media",'Mapa final'!$AA$47="Catastrófico"),CONCATENATE("R4C",'Mapa final'!$O$47),"")</f>
        <v/>
      </c>
      <c r="AM29" s="53" t="str">
        <f>IF(AND('Mapa final'!$Y$48="Media",'Mapa final'!$AA$48="Catastrófico"),CONCATENATE("R4C",'Mapa final'!$O$48),"")</f>
        <v/>
      </c>
      <c r="AN29" s="79"/>
      <c r="AO29" s="488"/>
      <c r="AP29" s="489"/>
      <c r="AQ29" s="489"/>
      <c r="AR29" s="489"/>
      <c r="AS29" s="489"/>
      <c r="AT29" s="490"/>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row>
    <row r="30" spans="1:76" ht="15" customHeight="1" x14ac:dyDescent="0.25">
      <c r="A30" s="79"/>
      <c r="B30" s="407"/>
      <c r="C30" s="407"/>
      <c r="D30" s="408"/>
      <c r="E30" s="448"/>
      <c r="F30" s="449"/>
      <c r="G30" s="449"/>
      <c r="H30" s="449"/>
      <c r="I30" s="450"/>
      <c r="J30" s="63" t="str">
        <f>IF(AND('Mapa final'!$Y$49="Media",'Mapa final'!$AA$49="Leve"),CONCATENATE("R5C",'Mapa final'!$O$49),"")</f>
        <v/>
      </c>
      <c r="K30" s="64" t="str">
        <f>IF(AND('Mapa final'!$Y$50="Media",'Mapa final'!$AA$50="Leve"),CONCATENATE("R5C",'Mapa final'!$O$50),"")</f>
        <v/>
      </c>
      <c r="L30" s="64" t="str">
        <f>IF(AND('Mapa final'!$Y$51="Media",'Mapa final'!$AA$51="Leve"),CONCATENATE("R5C",'Mapa final'!$O$51),"")</f>
        <v/>
      </c>
      <c r="M30" s="64" t="str">
        <f>IF(AND('Mapa final'!$Y$52="Media",'Mapa final'!$AA$52="Leve"),CONCATENATE("R5C",'Mapa final'!$O$52),"")</f>
        <v/>
      </c>
      <c r="N30" s="64" t="str">
        <f>IF(AND('Mapa final'!$Y$53="Media",'Mapa final'!$AA$53="Leve"),CONCATENATE("R5C",'Mapa final'!$O$53),"")</f>
        <v/>
      </c>
      <c r="O30" s="65" t="e">
        <f>IF(AND('Mapa final'!#REF!="Media",'Mapa final'!#REF!="Leve"),CONCATENATE("R5C",'Mapa final'!#REF!),"")</f>
        <v>#REF!</v>
      </c>
      <c r="P30" s="63" t="str">
        <f>IF(AND('Mapa final'!$Y$49="Media",'Mapa final'!$AA$49="Menor"),CONCATENATE("R5C",'Mapa final'!$O$49),"")</f>
        <v/>
      </c>
      <c r="Q30" s="64" t="str">
        <f>IF(AND('Mapa final'!$Y$50="Media",'Mapa final'!$AA$50="Menor"),CONCATENATE("R5C",'Mapa final'!$O$50),"")</f>
        <v/>
      </c>
      <c r="R30" s="64" t="str">
        <f>IF(AND('Mapa final'!$Y$51="Media",'Mapa final'!$AA$51="Menor"),CONCATENATE("R5C",'Mapa final'!$O$51),"")</f>
        <v/>
      </c>
      <c r="S30" s="64" t="str">
        <f>IF(AND('Mapa final'!$Y$52="Media",'Mapa final'!$AA$52="Menor"),CONCATENATE("R5C",'Mapa final'!$O$52),"")</f>
        <v/>
      </c>
      <c r="T30" s="64" t="str">
        <f>IF(AND('Mapa final'!$Y$53="Media",'Mapa final'!$AA$53="Menor"),CONCATENATE("R5C",'Mapa final'!$O$53),"")</f>
        <v/>
      </c>
      <c r="U30" s="65" t="e">
        <f>IF(AND('Mapa final'!#REF!="Media",'Mapa final'!#REF!="Menor"),CONCATENATE("R5C",'Mapa final'!#REF!),"")</f>
        <v>#REF!</v>
      </c>
      <c r="V30" s="63" t="str">
        <f>IF(AND('Mapa final'!$Y$49="Media",'Mapa final'!$AA$49="Moderado"),CONCATENATE("R5C",'Mapa final'!$O$49),"")</f>
        <v/>
      </c>
      <c r="W30" s="64" t="str">
        <f>IF(AND('Mapa final'!$Y$50="Media",'Mapa final'!$AA$50="Moderado"),CONCATENATE("R5C",'Mapa final'!$O$50),"")</f>
        <v/>
      </c>
      <c r="X30" s="64" t="str">
        <f>IF(AND('Mapa final'!$Y$51="Media",'Mapa final'!$AA$51="Moderado"),CONCATENATE("R5C",'Mapa final'!$O$51),"")</f>
        <v/>
      </c>
      <c r="Y30" s="64" t="str">
        <f>IF(AND('Mapa final'!$Y$52="Media",'Mapa final'!$AA$52="Moderado"),CONCATENATE("R5C",'Mapa final'!$O$52),"")</f>
        <v/>
      </c>
      <c r="Z30" s="64" t="str">
        <f>IF(AND('Mapa final'!$Y$53="Media",'Mapa final'!$AA$53="Moderado"),CONCATENATE("R5C",'Mapa final'!$O$53),"")</f>
        <v>R5C1</v>
      </c>
      <c r="AA30" s="65" t="e">
        <f>IF(AND('Mapa final'!#REF!="Media",'Mapa final'!#REF!="Moderado"),CONCATENATE("R5C",'Mapa final'!#REF!),"")</f>
        <v>#REF!</v>
      </c>
      <c r="AB30" s="48" t="str">
        <f>IF(AND('Mapa final'!$Y$49="Media",'Mapa final'!$AA$49="Mayor"),CONCATENATE("R5C",'Mapa final'!$O$49),"")</f>
        <v/>
      </c>
      <c r="AC30" s="49" t="str">
        <f>IF(AND('Mapa final'!$Y$50="Media",'Mapa final'!$AA$50="Mayor"),CONCATENATE("R5C",'Mapa final'!$O$50),"")</f>
        <v/>
      </c>
      <c r="AD30" s="49" t="str">
        <f>IF(AND('Mapa final'!$Y$51="Media",'Mapa final'!$AA$51="Mayor"),CONCATENATE("R5C",'Mapa final'!$O$51),"")</f>
        <v>R5C1</v>
      </c>
      <c r="AE30" s="49" t="str">
        <f>IF(AND('Mapa final'!$Y$52="Media",'Mapa final'!$AA$52="Mayor"),CONCATENATE("R5C",'Mapa final'!$O$52),"")</f>
        <v/>
      </c>
      <c r="AF30" s="49" t="str">
        <f>IF(AND('Mapa final'!$Y$53="Media",'Mapa final'!$AA$53="Mayor"),CONCATENATE("R5C",'Mapa final'!$O$53),"")</f>
        <v/>
      </c>
      <c r="AG30" s="50" t="e">
        <f>IF(AND('Mapa final'!#REF!="Media",'Mapa final'!#REF!="Mayor"),CONCATENATE("R5C",'Mapa final'!#REF!),"")</f>
        <v>#REF!</v>
      </c>
      <c r="AH30" s="51" t="str">
        <f>IF(AND('Mapa final'!$Y$49="Media",'Mapa final'!$AA$49="Catastrófico"),CONCATENATE("R5C",'Mapa final'!$O$49),"")</f>
        <v/>
      </c>
      <c r="AI30" s="52" t="str">
        <f>IF(AND('Mapa final'!$Y$50="Media",'Mapa final'!$AA$50="Catastrófico"),CONCATENATE("R5C",'Mapa final'!$O$50),"")</f>
        <v/>
      </c>
      <c r="AJ30" s="52" t="str">
        <f>IF(AND('Mapa final'!$Y$51="Media",'Mapa final'!$AA$51="Catastrófico"),CONCATENATE("R5C",'Mapa final'!$O$51),"")</f>
        <v/>
      </c>
      <c r="AK30" s="52" t="str">
        <f>IF(AND('Mapa final'!$Y$52="Media",'Mapa final'!$AA$52="Catastrófico"),CONCATENATE("R5C",'Mapa final'!$O$52),"")</f>
        <v/>
      </c>
      <c r="AL30" s="52" t="str">
        <f>IF(AND('Mapa final'!$Y$53="Media",'Mapa final'!$AA$53="Catastrófico"),CONCATENATE("R5C",'Mapa final'!$O$53),"")</f>
        <v/>
      </c>
      <c r="AM30" s="53" t="e">
        <f>IF(AND('Mapa final'!#REF!="Media",'Mapa final'!#REF!="Catastrófico"),CONCATENATE("R5C",'Mapa final'!#REF!),"")</f>
        <v>#REF!</v>
      </c>
      <c r="AN30" s="79"/>
      <c r="AO30" s="488"/>
      <c r="AP30" s="489"/>
      <c r="AQ30" s="489"/>
      <c r="AR30" s="489"/>
      <c r="AS30" s="489"/>
      <c r="AT30" s="490"/>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row>
    <row r="31" spans="1:76" ht="15" customHeight="1" x14ac:dyDescent="0.25">
      <c r="A31" s="79"/>
      <c r="B31" s="407"/>
      <c r="C31" s="407"/>
      <c r="D31" s="408"/>
      <c r="E31" s="448"/>
      <c r="F31" s="449"/>
      <c r="G31" s="449"/>
      <c r="H31" s="449"/>
      <c r="I31" s="450"/>
      <c r="J31" s="63" t="str">
        <f>IF(AND('Mapa final'!$Y$54="Media",'Mapa final'!$AA$54="Leve"),CONCATENATE("R6C",'Mapa final'!$O$54),"")</f>
        <v/>
      </c>
      <c r="K31" s="64" t="str">
        <f>IF(AND('Mapa final'!$Y$55="Media",'Mapa final'!$AA$55="Leve"),CONCATENATE("R6C",'Mapa final'!$O$55),"")</f>
        <v/>
      </c>
      <c r="L31" s="64" t="str">
        <f>IF(AND('Mapa final'!$Y$56="Media",'Mapa final'!$AA$56="Leve"),CONCATENATE("R6C",'Mapa final'!$O$56),"")</f>
        <v/>
      </c>
      <c r="M31" s="64" t="str">
        <f>IF(AND('Mapa final'!$Y$57="Media",'Mapa final'!$AA$57="Leve"),CONCATENATE("R6C",'Mapa final'!$O$57),"")</f>
        <v/>
      </c>
      <c r="N31" s="64" t="e">
        <f>IF(AND('Mapa final'!#REF!="Media",'Mapa final'!#REF!="Leve"),CONCATENATE("R6C",'Mapa final'!#REF!),"")</f>
        <v>#REF!</v>
      </c>
      <c r="O31" s="65" t="e">
        <f>IF(AND('Mapa final'!#REF!="Media",'Mapa final'!#REF!="Leve"),CONCATENATE("R6C",'Mapa final'!#REF!),"")</f>
        <v>#REF!</v>
      </c>
      <c r="P31" s="63" t="str">
        <f>IF(AND('Mapa final'!$Y$54="Media",'Mapa final'!$AA$54="Menor"),CONCATENATE("R6C",'Mapa final'!$O$54),"")</f>
        <v/>
      </c>
      <c r="Q31" s="64" t="str">
        <f>IF(AND('Mapa final'!$Y$55="Media",'Mapa final'!$AA$55="Menor"),CONCATENATE("R6C",'Mapa final'!$O$55),"")</f>
        <v/>
      </c>
      <c r="R31" s="64" t="str">
        <f>IF(AND('Mapa final'!$Y$56="Media",'Mapa final'!$AA$56="Menor"),CONCATENATE("R6C",'Mapa final'!$O$56),"")</f>
        <v/>
      </c>
      <c r="S31" s="64" t="str">
        <f>IF(AND('Mapa final'!$Y$57="Media",'Mapa final'!$AA$57="Menor"),CONCATENATE("R6C",'Mapa final'!$O$57),"")</f>
        <v/>
      </c>
      <c r="T31" s="64" t="e">
        <f>IF(AND('Mapa final'!#REF!="Media",'Mapa final'!#REF!="Menor"),CONCATENATE("R6C",'Mapa final'!#REF!),"")</f>
        <v>#REF!</v>
      </c>
      <c r="U31" s="65" t="e">
        <f>IF(AND('Mapa final'!#REF!="Media",'Mapa final'!#REF!="Menor"),CONCATENATE("R6C",'Mapa final'!#REF!),"")</f>
        <v>#REF!</v>
      </c>
      <c r="V31" s="63" t="str">
        <f>IF(AND('Mapa final'!$Y$54="Media",'Mapa final'!$AA$54="Moderado"),CONCATENATE("R6C",'Mapa final'!$O$54),"")</f>
        <v/>
      </c>
      <c r="W31" s="64" t="str">
        <f>IF(AND('Mapa final'!$Y$55="Media",'Mapa final'!$AA$55="Moderado"),CONCATENATE("R6C",'Mapa final'!$O$55),"")</f>
        <v/>
      </c>
      <c r="X31" s="64" t="str">
        <f>IF(AND('Mapa final'!$Y$56="Media",'Mapa final'!$AA$56="Moderado"),CONCATENATE("R6C",'Mapa final'!$O$56),"")</f>
        <v/>
      </c>
      <c r="Y31" s="64" t="str">
        <f>IF(AND('Mapa final'!$Y$57="Media",'Mapa final'!$AA$57="Moderado"),CONCATENATE("R6C",'Mapa final'!$O$57),"")</f>
        <v/>
      </c>
      <c r="Z31" s="64" t="e">
        <f>IF(AND('Mapa final'!#REF!="Media",'Mapa final'!#REF!="Moderado"),CONCATENATE("R6C",'Mapa final'!#REF!),"")</f>
        <v>#REF!</v>
      </c>
      <c r="AA31" s="65" t="e">
        <f>IF(AND('Mapa final'!#REF!="Media",'Mapa final'!#REF!="Moderado"),CONCATENATE("R6C",'Mapa final'!#REF!),"")</f>
        <v>#REF!</v>
      </c>
      <c r="AB31" s="48" t="str">
        <f>IF(AND('Mapa final'!$Y$54="Media",'Mapa final'!$AA$54="Mayor"),CONCATENATE("R6C",'Mapa final'!$O$54),"")</f>
        <v/>
      </c>
      <c r="AC31" s="49" t="str">
        <f>IF(AND('Mapa final'!$Y$55="Media",'Mapa final'!$AA$55="Mayor"),CONCATENATE("R6C",'Mapa final'!$O$55),"")</f>
        <v/>
      </c>
      <c r="AD31" s="49" t="str">
        <f>IF(AND('Mapa final'!$Y$56="Media",'Mapa final'!$AA$56="Mayor"),CONCATENATE("R6C",'Mapa final'!$O$56),"")</f>
        <v/>
      </c>
      <c r="AE31" s="49" t="str">
        <f>IF(AND('Mapa final'!$Y$57="Media",'Mapa final'!$AA$57="Mayor"),CONCATENATE("R6C",'Mapa final'!$O$57),"")</f>
        <v/>
      </c>
      <c r="AF31" s="49" t="e">
        <f>IF(AND('Mapa final'!#REF!="Media",'Mapa final'!#REF!="Mayor"),CONCATENATE("R6C",'Mapa final'!#REF!),"")</f>
        <v>#REF!</v>
      </c>
      <c r="AG31" s="50" t="e">
        <f>IF(AND('Mapa final'!#REF!="Media",'Mapa final'!#REF!="Mayor"),CONCATENATE("R6C",'Mapa final'!#REF!),"")</f>
        <v>#REF!</v>
      </c>
      <c r="AH31" s="51" t="str">
        <f>IF(AND('Mapa final'!$Y$54="Media",'Mapa final'!$AA$54="Catastrófico"),CONCATENATE("R6C",'Mapa final'!$O$54),"")</f>
        <v/>
      </c>
      <c r="AI31" s="52" t="str">
        <f>IF(AND('Mapa final'!$Y$55="Media",'Mapa final'!$AA$55="Catastrófico"),CONCATENATE("R6C",'Mapa final'!$O$55),"")</f>
        <v/>
      </c>
      <c r="AJ31" s="52" t="str">
        <f>IF(AND('Mapa final'!$Y$56="Media",'Mapa final'!$AA$56="Catastrófico"),CONCATENATE("R6C",'Mapa final'!$O$56),"")</f>
        <v/>
      </c>
      <c r="AK31" s="52" t="str">
        <f>IF(AND('Mapa final'!$Y$57="Media",'Mapa final'!$AA$57="Catastrófico"),CONCATENATE("R6C",'Mapa final'!$O$57),"")</f>
        <v/>
      </c>
      <c r="AL31" s="52" t="e">
        <f>IF(AND('Mapa final'!#REF!="Media",'Mapa final'!#REF!="Catastrófico"),CONCATENATE("R6C",'Mapa final'!#REF!),"")</f>
        <v>#REF!</v>
      </c>
      <c r="AM31" s="53" t="e">
        <f>IF(AND('Mapa final'!#REF!="Media",'Mapa final'!#REF!="Catastrófico"),CONCATENATE("R6C",'Mapa final'!#REF!),"")</f>
        <v>#REF!</v>
      </c>
      <c r="AN31" s="79"/>
      <c r="AO31" s="488"/>
      <c r="AP31" s="489"/>
      <c r="AQ31" s="489"/>
      <c r="AR31" s="489"/>
      <c r="AS31" s="489"/>
      <c r="AT31" s="490"/>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row>
    <row r="32" spans="1:76" ht="15" customHeight="1" x14ac:dyDescent="0.25">
      <c r="A32" s="79"/>
      <c r="B32" s="407"/>
      <c r="C32" s="407"/>
      <c r="D32" s="408"/>
      <c r="E32" s="448"/>
      <c r="F32" s="449"/>
      <c r="G32" s="449"/>
      <c r="H32" s="449"/>
      <c r="I32" s="450"/>
      <c r="J32" s="63" t="e">
        <f>IF(AND('Mapa final'!#REF!="Media",'Mapa final'!#REF!="Leve"),CONCATENATE("R7C",'Mapa final'!#REF!),"")</f>
        <v>#REF!</v>
      </c>
      <c r="K32" s="64" t="e">
        <f>IF(AND('Mapa final'!#REF!="Media",'Mapa final'!#REF!="Leve"),CONCATENATE("R7C",'Mapa final'!#REF!),"")</f>
        <v>#REF!</v>
      </c>
      <c r="L32" s="64" t="e">
        <f>IF(AND('Mapa final'!#REF!="Media",'Mapa final'!#REF!="Leve"),CONCATENATE("R7C",'Mapa final'!#REF!),"")</f>
        <v>#REF!</v>
      </c>
      <c r="M32" s="64" t="e">
        <f>IF(AND('Mapa final'!#REF!="Media",'Mapa final'!#REF!="Leve"),CONCATENATE("R7C",'Mapa final'!#REF!),"")</f>
        <v>#REF!</v>
      </c>
      <c r="N32" s="64" t="e">
        <f>IF(AND('Mapa final'!#REF!="Media",'Mapa final'!#REF!="Leve"),CONCATENATE("R7C",'Mapa final'!#REF!),"")</f>
        <v>#REF!</v>
      </c>
      <c r="O32" s="65" t="e">
        <f>IF(AND('Mapa final'!#REF!="Media",'Mapa final'!#REF!="Leve"),CONCATENATE("R7C",'Mapa final'!#REF!),"")</f>
        <v>#REF!</v>
      </c>
      <c r="P32" s="63" t="e">
        <f>IF(AND('Mapa final'!#REF!="Media",'Mapa final'!#REF!="Menor"),CONCATENATE("R7C",'Mapa final'!#REF!),"")</f>
        <v>#REF!</v>
      </c>
      <c r="Q32" s="64" t="e">
        <f>IF(AND('Mapa final'!#REF!="Media",'Mapa final'!#REF!="Menor"),CONCATENATE("R7C",'Mapa final'!#REF!),"")</f>
        <v>#REF!</v>
      </c>
      <c r="R32" s="64" t="e">
        <f>IF(AND('Mapa final'!#REF!="Media",'Mapa final'!#REF!="Menor"),CONCATENATE("R7C",'Mapa final'!#REF!),"")</f>
        <v>#REF!</v>
      </c>
      <c r="S32" s="64" t="e">
        <f>IF(AND('Mapa final'!#REF!="Media",'Mapa final'!#REF!="Menor"),CONCATENATE("R7C",'Mapa final'!#REF!),"")</f>
        <v>#REF!</v>
      </c>
      <c r="T32" s="64" t="e">
        <f>IF(AND('Mapa final'!#REF!="Media",'Mapa final'!#REF!="Menor"),CONCATENATE("R7C",'Mapa final'!#REF!),"")</f>
        <v>#REF!</v>
      </c>
      <c r="U32" s="65" t="e">
        <f>IF(AND('Mapa final'!#REF!="Media",'Mapa final'!#REF!="Menor"),CONCATENATE("R7C",'Mapa final'!#REF!),"")</f>
        <v>#REF!</v>
      </c>
      <c r="V32" s="63" t="e">
        <f>IF(AND('Mapa final'!#REF!="Media",'Mapa final'!#REF!="Moderado"),CONCATENATE("R7C",'Mapa final'!#REF!),"")</f>
        <v>#REF!</v>
      </c>
      <c r="W32" s="64" t="e">
        <f>IF(AND('Mapa final'!#REF!="Media",'Mapa final'!#REF!="Moderado"),CONCATENATE("R7C",'Mapa final'!#REF!),"")</f>
        <v>#REF!</v>
      </c>
      <c r="X32" s="64" t="e">
        <f>IF(AND('Mapa final'!#REF!="Media",'Mapa final'!#REF!="Moderado"),CONCATENATE("R7C",'Mapa final'!#REF!),"")</f>
        <v>#REF!</v>
      </c>
      <c r="Y32" s="64" t="e">
        <f>IF(AND('Mapa final'!#REF!="Media",'Mapa final'!#REF!="Moderado"),CONCATENATE("R7C",'Mapa final'!#REF!),"")</f>
        <v>#REF!</v>
      </c>
      <c r="Z32" s="64" t="e">
        <f>IF(AND('Mapa final'!#REF!="Media",'Mapa final'!#REF!="Moderado"),CONCATENATE("R7C",'Mapa final'!#REF!),"")</f>
        <v>#REF!</v>
      </c>
      <c r="AA32" s="65" t="e">
        <f>IF(AND('Mapa final'!#REF!="Media",'Mapa final'!#REF!="Moderado"),CONCATENATE("R7C",'Mapa final'!#REF!),"")</f>
        <v>#REF!</v>
      </c>
      <c r="AB32" s="48" t="e">
        <f>IF(AND('Mapa final'!#REF!="Media",'Mapa final'!#REF!="Mayor"),CONCATENATE("R7C",'Mapa final'!#REF!),"")</f>
        <v>#REF!</v>
      </c>
      <c r="AC32" s="49" t="e">
        <f>IF(AND('Mapa final'!#REF!="Media",'Mapa final'!#REF!="Mayor"),CONCATENATE("R7C",'Mapa final'!#REF!),"")</f>
        <v>#REF!</v>
      </c>
      <c r="AD32" s="49" t="e">
        <f>IF(AND('Mapa final'!#REF!="Media",'Mapa final'!#REF!="Mayor"),CONCATENATE("R7C",'Mapa final'!#REF!),"")</f>
        <v>#REF!</v>
      </c>
      <c r="AE32" s="49" t="e">
        <f>IF(AND('Mapa final'!#REF!="Media",'Mapa final'!#REF!="Mayor"),CONCATENATE("R7C",'Mapa final'!#REF!),"")</f>
        <v>#REF!</v>
      </c>
      <c r="AF32" s="49" t="e">
        <f>IF(AND('Mapa final'!#REF!="Media",'Mapa final'!#REF!="Mayor"),CONCATENATE("R7C",'Mapa final'!#REF!),"")</f>
        <v>#REF!</v>
      </c>
      <c r="AG32" s="50" t="e">
        <f>IF(AND('Mapa final'!#REF!="Media",'Mapa final'!#REF!="Mayor"),CONCATENATE("R7C",'Mapa final'!#REF!),"")</f>
        <v>#REF!</v>
      </c>
      <c r="AH32" s="51" t="e">
        <f>IF(AND('Mapa final'!#REF!="Media",'Mapa final'!#REF!="Catastrófico"),CONCATENATE("R7C",'Mapa final'!#REF!),"")</f>
        <v>#REF!</v>
      </c>
      <c r="AI32" s="52" t="e">
        <f>IF(AND('Mapa final'!#REF!="Media",'Mapa final'!#REF!="Catastrófico"),CONCATENATE("R7C",'Mapa final'!#REF!),"")</f>
        <v>#REF!</v>
      </c>
      <c r="AJ32" s="52" t="e">
        <f>IF(AND('Mapa final'!#REF!="Media",'Mapa final'!#REF!="Catastrófico"),CONCATENATE("R7C",'Mapa final'!#REF!),"")</f>
        <v>#REF!</v>
      </c>
      <c r="AK32" s="52" t="e">
        <f>IF(AND('Mapa final'!#REF!="Media",'Mapa final'!#REF!="Catastrófico"),CONCATENATE("R7C",'Mapa final'!#REF!),"")</f>
        <v>#REF!</v>
      </c>
      <c r="AL32" s="52" t="e">
        <f>IF(AND('Mapa final'!#REF!="Media",'Mapa final'!#REF!="Catastrófico"),CONCATENATE("R7C",'Mapa final'!#REF!),"")</f>
        <v>#REF!</v>
      </c>
      <c r="AM32" s="53" t="e">
        <f>IF(AND('Mapa final'!#REF!="Media",'Mapa final'!#REF!="Catastrófico"),CONCATENATE("R7C",'Mapa final'!#REF!),"")</f>
        <v>#REF!</v>
      </c>
      <c r="AN32" s="79"/>
      <c r="AO32" s="488"/>
      <c r="AP32" s="489"/>
      <c r="AQ32" s="489"/>
      <c r="AR32" s="489"/>
      <c r="AS32" s="489"/>
      <c r="AT32" s="490"/>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row>
    <row r="33" spans="1:80" ht="15" customHeight="1" x14ac:dyDescent="0.25">
      <c r="A33" s="79"/>
      <c r="B33" s="407"/>
      <c r="C33" s="407"/>
      <c r="D33" s="408"/>
      <c r="E33" s="448"/>
      <c r="F33" s="449"/>
      <c r="G33" s="449"/>
      <c r="H33" s="449"/>
      <c r="I33" s="450"/>
      <c r="J33" s="63" t="e">
        <f>IF(AND('Mapa final'!#REF!="Media",'Mapa final'!#REF!="Leve"),CONCATENATE("R8C",'Mapa final'!#REF!),"")</f>
        <v>#REF!</v>
      </c>
      <c r="K33" s="64" t="e">
        <f>IF(AND('Mapa final'!#REF!="Media",'Mapa final'!#REF!="Leve"),CONCATENATE("R8C",'Mapa final'!#REF!),"")</f>
        <v>#REF!</v>
      </c>
      <c r="L33" s="64" t="e">
        <f>IF(AND('Mapa final'!#REF!="Media",'Mapa final'!#REF!="Leve"),CONCATENATE("R8C",'Mapa final'!#REF!),"")</f>
        <v>#REF!</v>
      </c>
      <c r="M33" s="64" t="e">
        <f>IF(AND('Mapa final'!#REF!="Media",'Mapa final'!#REF!="Leve"),CONCATENATE("R8C",'Mapa final'!#REF!),"")</f>
        <v>#REF!</v>
      </c>
      <c r="N33" s="64" t="e">
        <f>IF(AND('Mapa final'!#REF!="Media",'Mapa final'!#REF!="Leve"),CONCATENATE("R8C",'Mapa final'!#REF!),"")</f>
        <v>#REF!</v>
      </c>
      <c r="O33" s="65" t="e">
        <f>IF(AND('Mapa final'!#REF!="Media",'Mapa final'!#REF!="Leve"),CONCATENATE("R8C",'Mapa final'!#REF!),"")</f>
        <v>#REF!</v>
      </c>
      <c r="P33" s="63" t="e">
        <f>IF(AND('Mapa final'!#REF!="Media",'Mapa final'!#REF!="Menor"),CONCATENATE("R8C",'Mapa final'!#REF!),"")</f>
        <v>#REF!</v>
      </c>
      <c r="Q33" s="64" t="e">
        <f>IF(AND('Mapa final'!#REF!="Media",'Mapa final'!#REF!="Menor"),CONCATENATE("R8C",'Mapa final'!#REF!),"")</f>
        <v>#REF!</v>
      </c>
      <c r="R33" s="64" t="e">
        <f>IF(AND('Mapa final'!#REF!="Media",'Mapa final'!#REF!="Menor"),CONCATENATE("R8C",'Mapa final'!#REF!),"")</f>
        <v>#REF!</v>
      </c>
      <c r="S33" s="64" t="e">
        <f>IF(AND('Mapa final'!#REF!="Media",'Mapa final'!#REF!="Menor"),CONCATENATE("R8C",'Mapa final'!#REF!),"")</f>
        <v>#REF!</v>
      </c>
      <c r="T33" s="64" t="e">
        <f>IF(AND('Mapa final'!#REF!="Media",'Mapa final'!#REF!="Menor"),CONCATENATE("R8C",'Mapa final'!#REF!),"")</f>
        <v>#REF!</v>
      </c>
      <c r="U33" s="65" t="e">
        <f>IF(AND('Mapa final'!#REF!="Media",'Mapa final'!#REF!="Menor"),CONCATENATE("R8C",'Mapa final'!#REF!),"")</f>
        <v>#REF!</v>
      </c>
      <c r="V33" s="63" t="e">
        <f>IF(AND('Mapa final'!#REF!="Media",'Mapa final'!#REF!="Moderado"),CONCATENATE("R8C",'Mapa final'!#REF!),"")</f>
        <v>#REF!</v>
      </c>
      <c r="W33" s="64" t="e">
        <f>IF(AND('Mapa final'!#REF!="Media",'Mapa final'!#REF!="Moderado"),CONCATENATE("R8C",'Mapa final'!#REF!),"")</f>
        <v>#REF!</v>
      </c>
      <c r="X33" s="64" t="e">
        <f>IF(AND('Mapa final'!#REF!="Media",'Mapa final'!#REF!="Moderado"),CONCATENATE("R8C",'Mapa final'!#REF!),"")</f>
        <v>#REF!</v>
      </c>
      <c r="Y33" s="64" t="e">
        <f>IF(AND('Mapa final'!#REF!="Media",'Mapa final'!#REF!="Moderado"),CONCATENATE("R8C",'Mapa final'!#REF!),"")</f>
        <v>#REF!</v>
      </c>
      <c r="Z33" s="64" t="e">
        <f>IF(AND('Mapa final'!#REF!="Media",'Mapa final'!#REF!="Moderado"),CONCATENATE("R8C",'Mapa final'!#REF!),"")</f>
        <v>#REF!</v>
      </c>
      <c r="AA33" s="65" t="e">
        <f>IF(AND('Mapa final'!#REF!="Media",'Mapa final'!#REF!="Moderado"),CONCATENATE("R8C",'Mapa final'!#REF!),"")</f>
        <v>#REF!</v>
      </c>
      <c r="AB33" s="48" t="e">
        <f>IF(AND('Mapa final'!#REF!="Media",'Mapa final'!#REF!="Mayor"),CONCATENATE("R8C",'Mapa final'!#REF!),"")</f>
        <v>#REF!</v>
      </c>
      <c r="AC33" s="49" t="e">
        <f>IF(AND('Mapa final'!#REF!="Media",'Mapa final'!#REF!="Mayor"),CONCATENATE("R8C",'Mapa final'!#REF!),"")</f>
        <v>#REF!</v>
      </c>
      <c r="AD33" s="49" t="e">
        <f>IF(AND('Mapa final'!#REF!="Media",'Mapa final'!#REF!="Mayor"),CONCATENATE("R8C",'Mapa final'!#REF!),"")</f>
        <v>#REF!</v>
      </c>
      <c r="AE33" s="49" t="e">
        <f>IF(AND('Mapa final'!#REF!="Media",'Mapa final'!#REF!="Mayor"),CONCATENATE("R8C",'Mapa final'!#REF!),"")</f>
        <v>#REF!</v>
      </c>
      <c r="AF33" s="49" t="e">
        <f>IF(AND('Mapa final'!#REF!="Media",'Mapa final'!#REF!="Mayor"),CONCATENATE("R8C",'Mapa final'!#REF!),"")</f>
        <v>#REF!</v>
      </c>
      <c r="AG33" s="50" t="e">
        <f>IF(AND('Mapa final'!#REF!="Media",'Mapa final'!#REF!="Mayor"),CONCATENATE("R8C",'Mapa final'!#REF!),"")</f>
        <v>#REF!</v>
      </c>
      <c r="AH33" s="51" t="e">
        <f>IF(AND('Mapa final'!#REF!="Media",'Mapa final'!#REF!="Catastrófico"),CONCATENATE("R8C",'Mapa final'!#REF!),"")</f>
        <v>#REF!</v>
      </c>
      <c r="AI33" s="52" t="e">
        <f>IF(AND('Mapa final'!#REF!="Media",'Mapa final'!#REF!="Catastrófico"),CONCATENATE("R8C",'Mapa final'!#REF!),"")</f>
        <v>#REF!</v>
      </c>
      <c r="AJ33" s="52" t="e">
        <f>IF(AND('Mapa final'!#REF!="Media",'Mapa final'!#REF!="Catastrófico"),CONCATENATE("R8C",'Mapa final'!#REF!),"")</f>
        <v>#REF!</v>
      </c>
      <c r="AK33" s="52" t="e">
        <f>IF(AND('Mapa final'!#REF!="Media",'Mapa final'!#REF!="Catastrófico"),CONCATENATE("R8C",'Mapa final'!#REF!),"")</f>
        <v>#REF!</v>
      </c>
      <c r="AL33" s="52" t="e">
        <f>IF(AND('Mapa final'!#REF!="Media",'Mapa final'!#REF!="Catastrófico"),CONCATENATE("R8C",'Mapa final'!#REF!),"")</f>
        <v>#REF!</v>
      </c>
      <c r="AM33" s="53" t="e">
        <f>IF(AND('Mapa final'!#REF!="Media",'Mapa final'!#REF!="Catastrófico"),CONCATENATE("R8C",'Mapa final'!#REF!),"")</f>
        <v>#REF!</v>
      </c>
      <c r="AN33" s="79"/>
      <c r="AO33" s="488"/>
      <c r="AP33" s="489"/>
      <c r="AQ33" s="489"/>
      <c r="AR33" s="489"/>
      <c r="AS33" s="489"/>
      <c r="AT33" s="490"/>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row>
    <row r="34" spans="1:80" ht="15" customHeight="1" x14ac:dyDescent="0.25">
      <c r="A34" s="79"/>
      <c r="B34" s="407"/>
      <c r="C34" s="407"/>
      <c r="D34" s="408"/>
      <c r="E34" s="448"/>
      <c r="F34" s="449"/>
      <c r="G34" s="449"/>
      <c r="H34" s="449"/>
      <c r="I34" s="450"/>
      <c r="J34" s="63" t="e">
        <f>IF(AND('Mapa final'!#REF!="Media",'Mapa final'!#REF!="Leve"),CONCATENATE("R9C",'Mapa final'!#REF!),"")</f>
        <v>#REF!</v>
      </c>
      <c r="K34" s="64" t="e">
        <f>IF(AND('Mapa final'!#REF!="Media",'Mapa final'!#REF!="Leve"),CONCATENATE("R9C",'Mapa final'!#REF!),"")</f>
        <v>#REF!</v>
      </c>
      <c r="L34" s="64" t="e">
        <f>IF(AND('Mapa final'!#REF!="Media",'Mapa final'!#REF!="Leve"),CONCATENATE("R9C",'Mapa final'!#REF!),"")</f>
        <v>#REF!</v>
      </c>
      <c r="M34" s="64" t="e">
        <f>IF(AND('Mapa final'!#REF!="Media",'Mapa final'!#REF!="Leve"),CONCATENATE("R9C",'Mapa final'!#REF!),"")</f>
        <v>#REF!</v>
      </c>
      <c r="N34" s="64" t="e">
        <f>IF(AND('Mapa final'!#REF!="Media",'Mapa final'!#REF!="Leve"),CONCATENATE("R9C",'Mapa final'!#REF!),"")</f>
        <v>#REF!</v>
      </c>
      <c r="O34" s="65" t="e">
        <f>IF(AND('Mapa final'!#REF!="Media",'Mapa final'!#REF!="Leve"),CONCATENATE("R9C",'Mapa final'!#REF!),"")</f>
        <v>#REF!</v>
      </c>
      <c r="P34" s="63" t="e">
        <f>IF(AND('Mapa final'!#REF!="Media",'Mapa final'!#REF!="Menor"),CONCATENATE("R9C",'Mapa final'!#REF!),"")</f>
        <v>#REF!</v>
      </c>
      <c r="Q34" s="64" t="e">
        <f>IF(AND('Mapa final'!#REF!="Media",'Mapa final'!#REF!="Menor"),CONCATENATE("R9C",'Mapa final'!#REF!),"")</f>
        <v>#REF!</v>
      </c>
      <c r="R34" s="64" t="e">
        <f>IF(AND('Mapa final'!#REF!="Media",'Mapa final'!#REF!="Menor"),CONCATENATE("R9C",'Mapa final'!#REF!),"")</f>
        <v>#REF!</v>
      </c>
      <c r="S34" s="64" t="e">
        <f>IF(AND('Mapa final'!#REF!="Media",'Mapa final'!#REF!="Menor"),CONCATENATE("R9C",'Mapa final'!#REF!),"")</f>
        <v>#REF!</v>
      </c>
      <c r="T34" s="64" t="e">
        <f>IF(AND('Mapa final'!#REF!="Media",'Mapa final'!#REF!="Menor"),CONCATENATE("R9C",'Mapa final'!#REF!),"")</f>
        <v>#REF!</v>
      </c>
      <c r="U34" s="65" t="e">
        <f>IF(AND('Mapa final'!#REF!="Media",'Mapa final'!#REF!="Menor"),CONCATENATE("R9C",'Mapa final'!#REF!),"")</f>
        <v>#REF!</v>
      </c>
      <c r="V34" s="63" t="e">
        <f>IF(AND('Mapa final'!#REF!="Media",'Mapa final'!#REF!="Moderado"),CONCATENATE("R9C",'Mapa final'!#REF!),"")</f>
        <v>#REF!</v>
      </c>
      <c r="W34" s="64" t="e">
        <f>IF(AND('Mapa final'!#REF!="Media",'Mapa final'!#REF!="Moderado"),CONCATENATE("R9C",'Mapa final'!#REF!),"")</f>
        <v>#REF!</v>
      </c>
      <c r="X34" s="64" t="e">
        <f>IF(AND('Mapa final'!#REF!="Media",'Mapa final'!#REF!="Moderado"),CONCATENATE("R9C",'Mapa final'!#REF!),"")</f>
        <v>#REF!</v>
      </c>
      <c r="Y34" s="64" t="e">
        <f>IF(AND('Mapa final'!#REF!="Media",'Mapa final'!#REF!="Moderado"),CONCATENATE("R9C",'Mapa final'!#REF!),"")</f>
        <v>#REF!</v>
      </c>
      <c r="Z34" s="64" t="e">
        <f>IF(AND('Mapa final'!#REF!="Media",'Mapa final'!#REF!="Moderado"),CONCATENATE("R9C",'Mapa final'!#REF!),"")</f>
        <v>#REF!</v>
      </c>
      <c r="AA34" s="65" t="e">
        <f>IF(AND('Mapa final'!#REF!="Media",'Mapa final'!#REF!="Moderado"),CONCATENATE("R9C",'Mapa final'!#REF!),"")</f>
        <v>#REF!</v>
      </c>
      <c r="AB34" s="48" t="e">
        <f>IF(AND('Mapa final'!#REF!="Media",'Mapa final'!#REF!="Mayor"),CONCATENATE("R9C",'Mapa final'!#REF!),"")</f>
        <v>#REF!</v>
      </c>
      <c r="AC34" s="49" t="e">
        <f>IF(AND('Mapa final'!#REF!="Media",'Mapa final'!#REF!="Mayor"),CONCATENATE("R9C",'Mapa final'!#REF!),"")</f>
        <v>#REF!</v>
      </c>
      <c r="AD34" s="49" t="e">
        <f>IF(AND('Mapa final'!#REF!="Media",'Mapa final'!#REF!="Mayor"),CONCATENATE("R9C",'Mapa final'!#REF!),"")</f>
        <v>#REF!</v>
      </c>
      <c r="AE34" s="49" t="e">
        <f>IF(AND('Mapa final'!#REF!="Media",'Mapa final'!#REF!="Mayor"),CONCATENATE("R9C",'Mapa final'!#REF!),"")</f>
        <v>#REF!</v>
      </c>
      <c r="AF34" s="49" t="e">
        <f>IF(AND('Mapa final'!#REF!="Media",'Mapa final'!#REF!="Mayor"),CONCATENATE("R9C",'Mapa final'!#REF!),"")</f>
        <v>#REF!</v>
      </c>
      <c r="AG34" s="50" t="e">
        <f>IF(AND('Mapa final'!#REF!="Media",'Mapa final'!#REF!="Mayor"),CONCATENATE("R9C",'Mapa final'!#REF!),"")</f>
        <v>#REF!</v>
      </c>
      <c r="AH34" s="51" t="e">
        <f>IF(AND('Mapa final'!#REF!="Media",'Mapa final'!#REF!="Catastrófico"),CONCATENATE("R9C",'Mapa final'!#REF!),"")</f>
        <v>#REF!</v>
      </c>
      <c r="AI34" s="52" t="e">
        <f>IF(AND('Mapa final'!#REF!="Media",'Mapa final'!#REF!="Catastrófico"),CONCATENATE("R9C",'Mapa final'!#REF!),"")</f>
        <v>#REF!</v>
      </c>
      <c r="AJ34" s="52" t="e">
        <f>IF(AND('Mapa final'!#REF!="Media",'Mapa final'!#REF!="Catastrófico"),CONCATENATE("R9C",'Mapa final'!#REF!),"")</f>
        <v>#REF!</v>
      </c>
      <c r="AK34" s="52" t="e">
        <f>IF(AND('Mapa final'!#REF!="Media",'Mapa final'!#REF!="Catastrófico"),CONCATENATE("R9C",'Mapa final'!#REF!),"")</f>
        <v>#REF!</v>
      </c>
      <c r="AL34" s="52" t="e">
        <f>IF(AND('Mapa final'!#REF!="Media",'Mapa final'!#REF!="Catastrófico"),CONCATENATE("R9C",'Mapa final'!#REF!),"")</f>
        <v>#REF!</v>
      </c>
      <c r="AM34" s="53" t="e">
        <f>IF(AND('Mapa final'!#REF!="Media",'Mapa final'!#REF!="Catastrófico"),CONCATENATE("R9C",'Mapa final'!#REF!),"")</f>
        <v>#REF!</v>
      </c>
      <c r="AN34" s="79"/>
      <c r="AO34" s="488"/>
      <c r="AP34" s="489"/>
      <c r="AQ34" s="489"/>
      <c r="AR34" s="489"/>
      <c r="AS34" s="489"/>
      <c r="AT34" s="490"/>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row>
    <row r="35" spans="1:80" ht="15.75" customHeight="1" thickBot="1" x14ac:dyDescent="0.3">
      <c r="A35" s="79"/>
      <c r="B35" s="407"/>
      <c r="C35" s="407"/>
      <c r="D35" s="408"/>
      <c r="E35" s="451"/>
      <c r="F35" s="452"/>
      <c r="G35" s="452"/>
      <c r="H35" s="452"/>
      <c r="I35" s="453"/>
      <c r="J35" s="63" t="e">
        <f>IF(AND('Mapa final'!#REF!="Media",'Mapa final'!#REF!="Leve"),CONCATENATE("R10C",'Mapa final'!#REF!),"")</f>
        <v>#REF!</v>
      </c>
      <c r="K35" s="64" t="e">
        <f>IF(AND('Mapa final'!#REF!="Media",'Mapa final'!#REF!="Leve"),CONCATENATE("R10C",'Mapa final'!#REF!),"")</f>
        <v>#REF!</v>
      </c>
      <c r="L35" s="64" t="e">
        <f>IF(AND('Mapa final'!#REF!="Media",'Mapa final'!#REF!="Leve"),CONCATENATE("R10C",'Mapa final'!#REF!),"")</f>
        <v>#REF!</v>
      </c>
      <c r="M35" s="64" t="e">
        <f>IF(AND('Mapa final'!#REF!="Media",'Mapa final'!#REF!="Leve"),CONCATENATE("R10C",'Mapa final'!#REF!),"")</f>
        <v>#REF!</v>
      </c>
      <c r="N35" s="64" t="e">
        <f>IF(AND('Mapa final'!#REF!="Media",'Mapa final'!#REF!="Leve"),CONCATENATE("R10C",'Mapa final'!#REF!),"")</f>
        <v>#REF!</v>
      </c>
      <c r="O35" s="65" t="e">
        <f>IF(AND('Mapa final'!#REF!="Media",'Mapa final'!#REF!="Leve"),CONCATENATE("R10C",'Mapa final'!#REF!),"")</f>
        <v>#REF!</v>
      </c>
      <c r="P35" s="63" t="e">
        <f>IF(AND('Mapa final'!#REF!="Media",'Mapa final'!#REF!="Menor"),CONCATENATE("R10C",'Mapa final'!#REF!),"")</f>
        <v>#REF!</v>
      </c>
      <c r="Q35" s="64" t="e">
        <f>IF(AND('Mapa final'!#REF!="Media",'Mapa final'!#REF!="Menor"),CONCATENATE("R10C",'Mapa final'!#REF!),"")</f>
        <v>#REF!</v>
      </c>
      <c r="R35" s="64" t="e">
        <f>IF(AND('Mapa final'!#REF!="Media",'Mapa final'!#REF!="Menor"),CONCATENATE("R10C",'Mapa final'!#REF!),"")</f>
        <v>#REF!</v>
      </c>
      <c r="S35" s="64" t="e">
        <f>IF(AND('Mapa final'!#REF!="Media",'Mapa final'!#REF!="Menor"),CONCATENATE("R10C",'Mapa final'!#REF!),"")</f>
        <v>#REF!</v>
      </c>
      <c r="T35" s="64" t="e">
        <f>IF(AND('Mapa final'!#REF!="Media",'Mapa final'!#REF!="Menor"),CONCATENATE("R10C",'Mapa final'!#REF!),"")</f>
        <v>#REF!</v>
      </c>
      <c r="U35" s="65" t="e">
        <f>IF(AND('Mapa final'!#REF!="Media",'Mapa final'!#REF!="Menor"),CONCATENATE("R10C",'Mapa final'!#REF!),"")</f>
        <v>#REF!</v>
      </c>
      <c r="V35" s="63" t="e">
        <f>IF(AND('Mapa final'!#REF!="Media",'Mapa final'!#REF!="Moderado"),CONCATENATE("R10C",'Mapa final'!#REF!),"")</f>
        <v>#REF!</v>
      </c>
      <c r="W35" s="64" t="e">
        <f>IF(AND('Mapa final'!#REF!="Media",'Mapa final'!#REF!="Moderado"),CONCATENATE("R10C",'Mapa final'!#REF!),"")</f>
        <v>#REF!</v>
      </c>
      <c r="X35" s="64" t="e">
        <f>IF(AND('Mapa final'!#REF!="Media",'Mapa final'!#REF!="Moderado"),CONCATENATE("R10C",'Mapa final'!#REF!),"")</f>
        <v>#REF!</v>
      </c>
      <c r="Y35" s="64" t="e">
        <f>IF(AND('Mapa final'!#REF!="Media",'Mapa final'!#REF!="Moderado"),CONCATENATE("R10C",'Mapa final'!#REF!),"")</f>
        <v>#REF!</v>
      </c>
      <c r="Z35" s="64" t="e">
        <f>IF(AND('Mapa final'!#REF!="Media",'Mapa final'!#REF!="Moderado"),CONCATENATE("R10C",'Mapa final'!#REF!),"")</f>
        <v>#REF!</v>
      </c>
      <c r="AA35" s="65" t="e">
        <f>IF(AND('Mapa final'!#REF!="Media",'Mapa final'!#REF!="Moderado"),CONCATENATE("R10C",'Mapa final'!#REF!),"")</f>
        <v>#REF!</v>
      </c>
      <c r="AB35" s="54" t="e">
        <f>IF(AND('Mapa final'!#REF!="Media",'Mapa final'!#REF!="Mayor"),CONCATENATE("R10C",'Mapa final'!#REF!),"")</f>
        <v>#REF!</v>
      </c>
      <c r="AC35" s="55" t="e">
        <f>IF(AND('Mapa final'!#REF!="Media",'Mapa final'!#REF!="Mayor"),CONCATENATE("R10C",'Mapa final'!#REF!),"")</f>
        <v>#REF!</v>
      </c>
      <c r="AD35" s="55" t="e">
        <f>IF(AND('Mapa final'!#REF!="Media",'Mapa final'!#REF!="Mayor"),CONCATENATE("R10C",'Mapa final'!#REF!),"")</f>
        <v>#REF!</v>
      </c>
      <c r="AE35" s="55" t="e">
        <f>IF(AND('Mapa final'!#REF!="Media",'Mapa final'!#REF!="Mayor"),CONCATENATE("R10C",'Mapa final'!#REF!),"")</f>
        <v>#REF!</v>
      </c>
      <c r="AF35" s="55" t="e">
        <f>IF(AND('Mapa final'!#REF!="Media",'Mapa final'!#REF!="Mayor"),CONCATENATE("R10C",'Mapa final'!#REF!),"")</f>
        <v>#REF!</v>
      </c>
      <c r="AG35" s="56" t="e">
        <f>IF(AND('Mapa final'!#REF!="Media",'Mapa final'!#REF!="Mayor"),CONCATENATE("R10C",'Mapa final'!#REF!),"")</f>
        <v>#REF!</v>
      </c>
      <c r="AH35" s="57" t="e">
        <f>IF(AND('Mapa final'!#REF!="Media",'Mapa final'!#REF!="Catastrófico"),CONCATENATE("R10C",'Mapa final'!#REF!),"")</f>
        <v>#REF!</v>
      </c>
      <c r="AI35" s="58" t="e">
        <f>IF(AND('Mapa final'!#REF!="Media",'Mapa final'!#REF!="Catastrófico"),CONCATENATE("R10C",'Mapa final'!#REF!),"")</f>
        <v>#REF!</v>
      </c>
      <c r="AJ35" s="58" t="e">
        <f>IF(AND('Mapa final'!#REF!="Media",'Mapa final'!#REF!="Catastrófico"),CONCATENATE("R10C",'Mapa final'!#REF!),"")</f>
        <v>#REF!</v>
      </c>
      <c r="AK35" s="58" t="e">
        <f>IF(AND('Mapa final'!#REF!="Media",'Mapa final'!#REF!="Catastrófico"),CONCATENATE("R10C",'Mapa final'!#REF!),"")</f>
        <v>#REF!</v>
      </c>
      <c r="AL35" s="58" t="e">
        <f>IF(AND('Mapa final'!#REF!="Media",'Mapa final'!#REF!="Catastrófico"),CONCATENATE("R10C",'Mapa final'!#REF!),"")</f>
        <v>#REF!</v>
      </c>
      <c r="AM35" s="59" t="e">
        <f>IF(AND('Mapa final'!#REF!="Media",'Mapa final'!#REF!="Catastrófico"),CONCATENATE("R10C",'Mapa final'!#REF!),"")</f>
        <v>#REF!</v>
      </c>
      <c r="AN35" s="79"/>
      <c r="AO35" s="491"/>
      <c r="AP35" s="492"/>
      <c r="AQ35" s="492"/>
      <c r="AR35" s="492"/>
      <c r="AS35" s="492"/>
      <c r="AT35" s="493"/>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row>
    <row r="36" spans="1:80" ht="15" customHeight="1" x14ac:dyDescent="0.25">
      <c r="A36" s="79"/>
      <c r="B36" s="407"/>
      <c r="C36" s="407"/>
      <c r="D36" s="408"/>
      <c r="E36" s="445" t="s">
        <v>114</v>
      </c>
      <c r="F36" s="446"/>
      <c r="G36" s="446"/>
      <c r="H36" s="446"/>
      <c r="I36" s="446"/>
      <c r="J36" s="69" t="e">
        <f>IF(AND('Mapa final'!#REF!="Baja",'Mapa final'!#REF!="Leve"),CONCATENATE("R1C",'Mapa final'!#REF!),"")</f>
        <v>#REF!</v>
      </c>
      <c r="K36" s="70" t="e">
        <f>IF(AND('Mapa final'!#REF!="Baja",'Mapa final'!#REF!="Leve"),CONCATENATE("R1C",'Mapa final'!#REF!),"")</f>
        <v>#REF!</v>
      </c>
      <c r="L36" s="70" t="e">
        <f>IF(AND('Mapa final'!#REF!="Baja",'Mapa final'!#REF!="Leve"),CONCATENATE("R1C",'Mapa final'!#REF!),"")</f>
        <v>#REF!</v>
      </c>
      <c r="M36" s="70" t="str">
        <f>IF(AND('Mapa final'!$Y$10="Baja",'Mapa final'!$AA$10="Leve"),CONCATENATE("R1C",'Mapa final'!$O$10),"")</f>
        <v/>
      </c>
      <c r="N36" s="70" t="str">
        <f>IF(AND('Mapa final'!$Y$14="Baja",'Mapa final'!$AA$14="Leve"),CONCATENATE("R1C",'Mapa final'!$O$14),"")</f>
        <v/>
      </c>
      <c r="O36" s="71" t="str">
        <f>IF(AND('Mapa final'!$Y$17="Baja",'Mapa final'!$AA$17="Leve"),CONCATENATE("R1C",'Mapa final'!$O$17),"")</f>
        <v/>
      </c>
      <c r="P36" s="60" t="e">
        <f>IF(AND('Mapa final'!#REF!="Baja",'Mapa final'!#REF!="Menor"),CONCATENATE("R1C",'Mapa final'!#REF!),"")</f>
        <v>#REF!</v>
      </c>
      <c r="Q36" s="61" t="e">
        <f>IF(AND('Mapa final'!#REF!="Baja",'Mapa final'!#REF!="Menor"),CONCATENATE("R1C",'Mapa final'!#REF!),"")</f>
        <v>#REF!</v>
      </c>
      <c r="R36" s="61" t="e">
        <f>IF(AND('Mapa final'!#REF!="Baja",'Mapa final'!#REF!="Menor"),CONCATENATE("R1C",'Mapa final'!#REF!),"")</f>
        <v>#REF!</v>
      </c>
      <c r="S36" s="61" t="str">
        <f>IF(AND('Mapa final'!$Y$10="Baja",'Mapa final'!$AA$10="Menor"),CONCATENATE("R1C",'Mapa final'!$O$10),"")</f>
        <v/>
      </c>
      <c r="T36" s="61" t="str">
        <f>IF(AND('Mapa final'!$Y$14="Baja",'Mapa final'!$AA$14="Menor"),CONCATENATE("R1C",'Mapa final'!$O$14),"")</f>
        <v/>
      </c>
      <c r="U36" s="62" t="str">
        <f>IF(AND('Mapa final'!$Y$17="Baja",'Mapa final'!$AA$17="Menor"),CONCATENATE("R1C",'Mapa final'!$O$17),"")</f>
        <v>R1C1</v>
      </c>
      <c r="V36" s="60" t="e">
        <f>IF(AND('Mapa final'!#REF!="Baja",'Mapa final'!#REF!="Moderado"),CONCATENATE("R1C",'Mapa final'!#REF!),"")</f>
        <v>#REF!</v>
      </c>
      <c r="W36" s="61" t="e">
        <f>IF(AND('Mapa final'!#REF!="Baja",'Mapa final'!#REF!="Moderado"),CONCATENATE("R1C",'Mapa final'!#REF!),"")</f>
        <v>#REF!</v>
      </c>
      <c r="X36" s="61" t="e">
        <f>IF(AND('Mapa final'!#REF!="Baja",'Mapa final'!#REF!="Moderado"),CONCATENATE("R1C",'Mapa final'!#REF!),"")</f>
        <v>#REF!</v>
      </c>
      <c r="Y36" s="61" t="str">
        <f>IF(AND('Mapa final'!$Y$10="Baja",'Mapa final'!$AA$10="Moderado"),CONCATENATE("R1C",'Mapa final'!$O$10),"")</f>
        <v/>
      </c>
      <c r="Z36" s="61" t="str">
        <f>IF(AND('Mapa final'!$Y$14="Baja",'Mapa final'!$AA$14="Moderado"),CONCATENATE("R1C",'Mapa final'!$O$14),"")</f>
        <v/>
      </c>
      <c r="AA36" s="62" t="str">
        <f>IF(AND('Mapa final'!$Y$17="Baja",'Mapa final'!$AA$17="Moderado"),CONCATENATE("R1C",'Mapa final'!$O$17),"")</f>
        <v/>
      </c>
      <c r="AB36" s="42" t="e">
        <f>IF(AND('Mapa final'!#REF!="Baja",'Mapa final'!#REF!="Mayor"),CONCATENATE("R1C",'Mapa final'!#REF!),"")</f>
        <v>#REF!</v>
      </c>
      <c r="AC36" s="43" t="e">
        <f>IF(AND('Mapa final'!#REF!="Baja",'Mapa final'!#REF!="Mayor"),CONCATENATE("R1C",'Mapa final'!#REF!),"")</f>
        <v>#REF!</v>
      </c>
      <c r="AD36" s="43" t="e">
        <f>IF(AND('Mapa final'!#REF!="Baja",'Mapa final'!#REF!="Mayor"),CONCATENATE("R1C",'Mapa final'!#REF!),"")</f>
        <v>#REF!</v>
      </c>
      <c r="AE36" s="43" t="str">
        <f>IF(AND('Mapa final'!$Y$10="Baja",'Mapa final'!$AA$10="Mayor"),CONCATENATE("R1C",'Mapa final'!$O$10),"")</f>
        <v/>
      </c>
      <c r="AF36" s="43" t="str">
        <f>IF(AND('Mapa final'!$Y$14="Baja",'Mapa final'!$AA$14="Mayor"),CONCATENATE("R1C",'Mapa final'!$O$14),"")</f>
        <v/>
      </c>
      <c r="AG36" s="44" t="str">
        <f>IF(AND('Mapa final'!$Y$17="Baja",'Mapa final'!$AA$17="Mayor"),CONCATENATE("R1C",'Mapa final'!$O$17),"")</f>
        <v/>
      </c>
      <c r="AH36" s="45" t="e">
        <f>IF(AND('Mapa final'!#REF!="Baja",'Mapa final'!#REF!="Catastrófico"),CONCATENATE("R1C",'Mapa final'!#REF!),"")</f>
        <v>#REF!</v>
      </c>
      <c r="AI36" s="46" t="e">
        <f>IF(AND('Mapa final'!#REF!="Baja",'Mapa final'!#REF!="Catastrófico"),CONCATENATE("R1C",'Mapa final'!#REF!),"")</f>
        <v>#REF!</v>
      </c>
      <c r="AJ36" s="46" t="e">
        <f>IF(AND('Mapa final'!#REF!="Baja",'Mapa final'!#REF!="Catastrófico"),CONCATENATE("R1C",'Mapa final'!#REF!),"")</f>
        <v>#REF!</v>
      </c>
      <c r="AK36" s="46" t="str">
        <f>IF(AND('Mapa final'!$Y$10="Baja",'Mapa final'!$AA$10="Catastrófico"),CONCATENATE("R1C",'Mapa final'!$O$10),"")</f>
        <v/>
      </c>
      <c r="AL36" s="46" t="str">
        <f>IF(AND('Mapa final'!$Y$14="Baja",'Mapa final'!$AA$14="Catastrófico"),CONCATENATE("R1C",'Mapa final'!$O$14),"")</f>
        <v/>
      </c>
      <c r="AM36" s="47" t="str">
        <f>IF(AND('Mapa final'!$Y$17="Baja",'Mapa final'!$AA$17="Catastrófico"),CONCATENATE("R1C",'Mapa final'!$O$17),"")</f>
        <v/>
      </c>
      <c r="AN36" s="79"/>
      <c r="AO36" s="476" t="s">
        <v>82</v>
      </c>
      <c r="AP36" s="477"/>
      <c r="AQ36" s="477"/>
      <c r="AR36" s="477"/>
      <c r="AS36" s="477"/>
      <c r="AT36" s="478"/>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row>
    <row r="37" spans="1:80" ht="15" customHeight="1" x14ac:dyDescent="0.25">
      <c r="A37" s="79"/>
      <c r="B37" s="407"/>
      <c r="C37" s="407"/>
      <c r="D37" s="408"/>
      <c r="E37" s="464"/>
      <c r="F37" s="449"/>
      <c r="G37" s="449"/>
      <c r="H37" s="449"/>
      <c r="I37" s="449"/>
      <c r="J37" s="72" t="str">
        <f>IF(AND('Mapa final'!$Y$19="Baja",'Mapa final'!$AA$19="Leve"),CONCATENATE("R2C",'Mapa final'!$O$19),"")</f>
        <v/>
      </c>
      <c r="K37" s="73" t="str">
        <f>IF(AND('Mapa final'!$Y$22="Baja",'Mapa final'!$AA$22="Leve"),CONCATENATE("R2C",'Mapa final'!$O$22),"")</f>
        <v/>
      </c>
      <c r="L37" s="73" t="str">
        <f>IF(AND('Mapa final'!$Y$25="Baja",'Mapa final'!$AA$25="Leve"),CONCATENATE("R2C",'Mapa final'!$O$25),"")</f>
        <v/>
      </c>
      <c r="M37" s="73" t="str">
        <f>IF(AND('Mapa final'!$Y$26="Baja",'Mapa final'!$AA$26="Leve"),CONCATENATE("R2C",'Mapa final'!$O$26),"")</f>
        <v/>
      </c>
      <c r="N37" s="73" t="str">
        <f>IF(AND('Mapa final'!$Y$27="Baja",'Mapa final'!$AA$27="Leve"),CONCATENATE("R2C",'Mapa final'!$O$27),"")</f>
        <v/>
      </c>
      <c r="O37" s="74" t="str">
        <f>IF(AND('Mapa final'!$Y$28="Baja",'Mapa final'!$AA$28="Leve"),CONCATENATE("R2C",'Mapa final'!$O$28),"")</f>
        <v/>
      </c>
      <c r="P37" s="63" t="str">
        <f>IF(AND('Mapa final'!$Y$19="Baja",'Mapa final'!$AA$19="Menor"),CONCATENATE("R2C",'Mapa final'!$O$19),"")</f>
        <v/>
      </c>
      <c r="Q37" s="64" t="str">
        <f>IF(AND('Mapa final'!$Y$22="Baja",'Mapa final'!$AA$22="Menor"),CONCATENATE("R2C",'Mapa final'!$O$22),"")</f>
        <v/>
      </c>
      <c r="R37" s="64" t="str">
        <f>IF(AND('Mapa final'!$Y$25="Baja",'Mapa final'!$AA$25="Menor"),CONCATENATE("R2C",'Mapa final'!$O$25),"")</f>
        <v>R2C1</v>
      </c>
      <c r="S37" s="64" t="str">
        <f>IF(AND('Mapa final'!$Y$26="Baja",'Mapa final'!$AA$26="Menor"),CONCATENATE("R2C",'Mapa final'!$O$26),"")</f>
        <v/>
      </c>
      <c r="T37" s="64" t="str">
        <f>IF(AND('Mapa final'!$Y$27="Baja",'Mapa final'!$AA$27="Menor"),CONCATENATE("R2C",'Mapa final'!$O$27),"")</f>
        <v>R2C1</v>
      </c>
      <c r="U37" s="65" t="str">
        <f>IF(AND('Mapa final'!$Y$28="Baja",'Mapa final'!$AA$28="Menor"),CONCATENATE("R2C",'Mapa final'!$O$28),"")</f>
        <v/>
      </c>
      <c r="V37" s="63" t="str">
        <f>IF(AND('Mapa final'!$Y$19="Baja",'Mapa final'!$AA$19="Moderado"),CONCATENATE("R2C",'Mapa final'!$O$19),"")</f>
        <v/>
      </c>
      <c r="W37" s="64" t="str">
        <f>IF(AND('Mapa final'!$Y$22="Baja",'Mapa final'!$AA$22="Moderado"),CONCATENATE("R2C",'Mapa final'!$O$22),"")</f>
        <v>R2C1</v>
      </c>
      <c r="X37" s="64" t="str">
        <f>IF(AND('Mapa final'!$Y$25="Baja",'Mapa final'!$AA$25="Moderado"),CONCATENATE("R2C",'Mapa final'!$O$25),"")</f>
        <v/>
      </c>
      <c r="Y37" s="64" t="str">
        <f>IF(AND('Mapa final'!$Y$26="Baja",'Mapa final'!$AA$26="Moderado"),CONCATENATE("R2C",'Mapa final'!$O$26),"")</f>
        <v/>
      </c>
      <c r="Z37" s="64" t="str">
        <f>IF(AND('Mapa final'!$Y$27="Baja",'Mapa final'!$AA$27="Moderado"),CONCATENATE("R2C",'Mapa final'!$O$27),"")</f>
        <v/>
      </c>
      <c r="AA37" s="65" t="str">
        <f>IF(AND('Mapa final'!$Y$28="Baja",'Mapa final'!$AA$28="Moderado"),CONCATENATE("R2C",'Mapa final'!$O$28),"")</f>
        <v/>
      </c>
      <c r="AB37" s="48" t="str">
        <f>IF(AND('Mapa final'!$Y$19="Baja",'Mapa final'!$AA$19="Mayor"),CONCATENATE("R2C",'Mapa final'!$O$19),"")</f>
        <v>R2C1</v>
      </c>
      <c r="AC37" s="49" t="str">
        <f>IF(AND('Mapa final'!$Y$22="Baja",'Mapa final'!$AA$22="Mayor"),CONCATENATE("R2C",'Mapa final'!$O$22),"")</f>
        <v/>
      </c>
      <c r="AD37" s="49" t="str">
        <f>IF(AND('Mapa final'!$Y$25="Baja",'Mapa final'!$AA$25="Mayor"),CONCATENATE("R2C",'Mapa final'!$O$25),"")</f>
        <v/>
      </c>
      <c r="AE37" s="49" t="str">
        <f>IF(AND('Mapa final'!$Y$26="Baja",'Mapa final'!$AA$26="Mayor"),CONCATENATE("R2C",'Mapa final'!$O$26),"")</f>
        <v/>
      </c>
      <c r="AF37" s="49" t="str">
        <f>IF(AND('Mapa final'!$Y$27="Baja",'Mapa final'!$AA$27="Mayor"),CONCATENATE("R2C",'Mapa final'!$O$27),"")</f>
        <v/>
      </c>
      <c r="AG37" s="50" t="str">
        <f>IF(AND('Mapa final'!$Y$28="Baja",'Mapa final'!$AA$28="Mayor"),CONCATENATE("R2C",'Mapa final'!$O$28),"")</f>
        <v/>
      </c>
      <c r="AH37" s="51" t="str">
        <f>IF(AND('Mapa final'!$Y$19="Baja",'Mapa final'!$AA$19="Catastrófico"),CONCATENATE("R2C",'Mapa final'!$O$19),"")</f>
        <v/>
      </c>
      <c r="AI37" s="52" t="str">
        <f>IF(AND('Mapa final'!$Y$22="Baja",'Mapa final'!$AA$22="Catastrófico"),CONCATENATE("R2C",'Mapa final'!$O$22),"")</f>
        <v/>
      </c>
      <c r="AJ37" s="52" t="str">
        <f>IF(AND('Mapa final'!$Y$25="Baja",'Mapa final'!$AA$25="Catastrófico"),CONCATENATE("R2C",'Mapa final'!$O$25),"")</f>
        <v/>
      </c>
      <c r="AK37" s="52" t="str">
        <f>IF(AND('Mapa final'!$Y$26="Baja",'Mapa final'!$AA$26="Catastrófico"),CONCATENATE("R2C",'Mapa final'!$O$26),"")</f>
        <v/>
      </c>
      <c r="AL37" s="52" t="str">
        <f>IF(AND('Mapa final'!$Y$27="Baja",'Mapa final'!$AA$27="Catastrófico"),CONCATENATE("R2C",'Mapa final'!$O$27),"")</f>
        <v/>
      </c>
      <c r="AM37" s="53" t="str">
        <f>IF(AND('Mapa final'!$Y$28="Baja",'Mapa final'!$AA$28="Catastrófico"),CONCATENATE("R2C",'Mapa final'!$O$28),"")</f>
        <v/>
      </c>
      <c r="AN37" s="79"/>
      <c r="AO37" s="479"/>
      <c r="AP37" s="480"/>
      <c r="AQ37" s="480"/>
      <c r="AR37" s="480"/>
      <c r="AS37" s="480"/>
      <c r="AT37" s="481"/>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row>
    <row r="38" spans="1:80" ht="15" customHeight="1" x14ac:dyDescent="0.25">
      <c r="A38" s="79"/>
      <c r="B38" s="407"/>
      <c r="C38" s="407"/>
      <c r="D38" s="408"/>
      <c r="E38" s="448"/>
      <c r="F38" s="449"/>
      <c r="G38" s="449"/>
      <c r="H38" s="449"/>
      <c r="I38" s="449"/>
      <c r="J38" s="72" t="str">
        <f>IF(AND('Mapa final'!$Y$29="Baja",'Mapa final'!$AA$29="Leve"),CONCATENATE("R3C",'Mapa final'!$O$29),"")</f>
        <v/>
      </c>
      <c r="K38" s="73" t="e">
        <f>IF(AND('Mapa final'!#REF!="Baja",'Mapa final'!#REF!="Leve"),CONCATENATE("R3C",'Mapa final'!#REF!),"")</f>
        <v>#REF!</v>
      </c>
      <c r="L38" s="73" t="e">
        <f>IF(AND('Mapa final'!#REF!="Baja",'Mapa final'!#REF!="Leve"),CONCATENATE("R3C",'Mapa final'!#REF!),"")</f>
        <v>#REF!</v>
      </c>
      <c r="M38" s="73" t="e">
        <f>IF(AND('Mapa final'!#REF!="Baja",'Mapa final'!#REF!="Leve"),CONCATENATE("R3C",'Mapa final'!#REF!),"")</f>
        <v>#REF!</v>
      </c>
      <c r="N38" s="73" t="e">
        <f>IF(AND('Mapa final'!#REF!="Baja",'Mapa final'!#REF!="Leve"),CONCATENATE("R3C",'Mapa final'!#REF!),"")</f>
        <v>#REF!</v>
      </c>
      <c r="O38" s="74" t="e">
        <f>IF(AND('Mapa final'!#REF!="Baja",'Mapa final'!#REF!="Leve"),CONCATENATE("R3C",'Mapa final'!#REF!),"")</f>
        <v>#REF!</v>
      </c>
      <c r="P38" s="63" t="str">
        <f>IF(AND('Mapa final'!$Y$29="Baja",'Mapa final'!$AA$29="Menor"),CONCATENATE("R3C",'Mapa final'!$O$29),"")</f>
        <v/>
      </c>
      <c r="Q38" s="64" t="e">
        <f>IF(AND('Mapa final'!#REF!="Baja",'Mapa final'!#REF!="Menor"),CONCATENATE("R3C",'Mapa final'!#REF!),"")</f>
        <v>#REF!</v>
      </c>
      <c r="R38" s="64" t="e">
        <f>IF(AND('Mapa final'!#REF!="Baja",'Mapa final'!#REF!="Menor"),CONCATENATE("R3C",'Mapa final'!#REF!),"")</f>
        <v>#REF!</v>
      </c>
      <c r="S38" s="64" t="e">
        <f>IF(AND('Mapa final'!#REF!="Baja",'Mapa final'!#REF!="Menor"),CONCATENATE("R3C",'Mapa final'!#REF!),"")</f>
        <v>#REF!</v>
      </c>
      <c r="T38" s="64" t="e">
        <f>IF(AND('Mapa final'!#REF!="Baja",'Mapa final'!#REF!="Menor"),CONCATENATE("R3C",'Mapa final'!#REF!),"")</f>
        <v>#REF!</v>
      </c>
      <c r="U38" s="65" t="e">
        <f>IF(AND('Mapa final'!#REF!="Baja",'Mapa final'!#REF!="Menor"),CONCATENATE("R3C",'Mapa final'!#REF!),"")</f>
        <v>#REF!</v>
      </c>
      <c r="V38" s="63" t="str">
        <f>IF(AND('Mapa final'!$Y$29="Baja",'Mapa final'!$AA$29="Moderado"),CONCATENATE("R3C",'Mapa final'!$O$29),"")</f>
        <v/>
      </c>
      <c r="W38" s="64" t="e">
        <f>IF(AND('Mapa final'!#REF!="Baja",'Mapa final'!#REF!="Moderado"),CONCATENATE("R3C",'Mapa final'!#REF!),"")</f>
        <v>#REF!</v>
      </c>
      <c r="X38" s="64" t="e">
        <f>IF(AND('Mapa final'!#REF!="Baja",'Mapa final'!#REF!="Moderado"),CONCATENATE("R3C",'Mapa final'!#REF!),"")</f>
        <v>#REF!</v>
      </c>
      <c r="Y38" s="64" t="e">
        <f>IF(AND('Mapa final'!#REF!="Baja",'Mapa final'!#REF!="Moderado"),CONCATENATE("R3C",'Mapa final'!#REF!),"")</f>
        <v>#REF!</v>
      </c>
      <c r="Z38" s="64" t="e">
        <f>IF(AND('Mapa final'!#REF!="Baja",'Mapa final'!#REF!="Moderado"),CONCATENATE("R3C",'Mapa final'!#REF!),"")</f>
        <v>#REF!</v>
      </c>
      <c r="AA38" s="65" t="e">
        <f>IF(AND('Mapa final'!#REF!="Baja",'Mapa final'!#REF!="Moderado"),CONCATENATE("R3C",'Mapa final'!#REF!),"")</f>
        <v>#REF!</v>
      </c>
      <c r="AB38" s="48" t="str">
        <f>IF(AND('Mapa final'!$Y$29="Baja",'Mapa final'!$AA$29="Mayor"),CONCATENATE("R3C",'Mapa final'!$O$29),"")</f>
        <v/>
      </c>
      <c r="AC38" s="49" t="e">
        <f>IF(AND('Mapa final'!#REF!="Baja",'Mapa final'!#REF!="Mayor"),CONCATENATE("R3C",'Mapa final'!#REF!),"")</f>
        <v>#REF!</v>
      </c>
      <c r="AD38" s="49" t="e">
        <f>IF(AND('Mapa final'!#REF!="Baja",'Mapa final'!#REF!="Mayor"),CONCATENATE("R3C",'Mapa final'!#REF!),"")</f>
        <v>#REF!</v>
      </c>
      <c r="AE38" s="49" t="e">
        <f>IF(AND('Mapa final'!#REF!="Baja",'Mapa final'!#REF!="Mayor"),CONCATENATE("R3C",'Mapa final'!#REF!),"")</f>
        <v>#REF!</v>
      </c>
      <c r="AF38" s="49" t="e">
        <f>IF(AND('Mapa final'!#REF!="Baja",'Mapa final'!#REF!="Mayor"),CONCATENATE("R3C",'Mapa final'!#REF!),"")</f>
        <v>#REF!</v>
      </c>
      <c r="AG38" s="50" t="e">
        <f>IF(AND('Mapa final'!#REF!="Baja",'Mapa final'!#REF!="Mayor"),CONCATENATE("R3C",'Mapa final'!#REF!),"")</f>
        <v>#REF!</v>
      </c>
      <c r="AH38" s="51" t="str">
        <f>IF(AND('Mapa final'!$Y$29="Baja",'Mapa final'!$AA$29="Catastrófico"),CONCATENATE("R3C",'Mapa final'!$O$29),"")</f>
        <v/>
      </c>
      <c r="AI38" s="52" t="e">
        <f>IF(AND('Mapa final'!#REF!="Baja",'Mapa final'!#REF!="Catastrófico"),CONCATENATE("R3C",'Mapa final'!#REF!),"")</f>
        <v>#REF!</v>
      </c>
      <c r="AJ38" s="52" t="e">
        <f>IF(AND('Mapa final'!#REF!="Baja",'Mapa final'!#REF!="Catastrófico"),CONCATENATE("R3C",'Mapa final'!#REF!),"")</f>
        <v>#REF!</v>
      </c>
      <c r="AK38" s="52" t="e">
        <f>IF(AND('Mapa final'!#REF!="Baja",'Mapa final'!#REF!="Catastrófico"),CONCATENATE("R3C",'Mapa final'!#REF!),"")</f>
        <v>#REF!</v>
      </c>
      <c r="AL38" s="52" t="e">
        <f>IF(AND('Mapa final'!#REF!="Baja",'Mapa final'!#REF!="Catastrófico"),CONCATENATE("R3C",'Mapa final'!#REF!),"")</f>
        <v>#REF!</v>
      </c>
      <c r="AM38" s="53" t="e">
        <f>IF(AND('Mapa final'!#REF!="Baja",'Mapa final'!#REF!="Catastrófico"),CONCATENATE("R3C",'Mapa final'!#REF!),"")</f>
        <v>#REF!</v>
      </c>
      <c r="AN38" s="79"/>
      <c r="AO38" s="479"/>
      <c r="AP38" s="480"/>
      <c r="AQ38" s="480"/>
      <c r="AR38" s="480"/>
      <c r="AS38" s="480"/>
      <c r="AT38" s="481"/>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row>
    <row r="39" spans="1:80" ht="15" customHeight="1" x14ac:dyDescent="0.25">
      <c r="A39" s="79"/>
      <c r="B39" s="407"/>
      <c r="C39" s="407"/>
      <c r="D39" s="408"/>
      <c r="E39" s="448"/>
      <c r="F39" s="449"/>
      <c r="G39" s="449"/>
      <c r="H39" s="449"/>
      <c r="I39" s="449"/>
      <c r="J39" s="72" t="str">
        <f>IF(AND('Mapa final'!$Y$43="Baja",'Mapa final'!$AA$43="Leve"),CONCATENATE("R4C",'Mapa final'!$O$43),"")</f>
        <v/>
      </c>
      <c r="K39" s="73" t="str">
        <f>IF(AND('Mapa final'!$Y$44="Baja",'Mapa final'!$AA$44="Leve"),CONCATENATE("R4C",'Mapa final'!$O$44),"")</f>
        <v/>
      </c>
      <c r="L39" s="73" t="str">
        <f>IF(AND('Mapa final'!$Y$45="Baja",'Mapa final'!$AA$45="Leve"),CONCATENATE("R4C",'Mapa final'!$O$45),"")</f>
        <v/>
      </c>
      <c r="M39" s="73" t="str">
        <f>IF(AND('Mapa final'!$Y$46="Baja",'Mapa final'!$AA$46="Leve"),CONCATENATE("R4C",'Mapa final'!$O$46),"")</f>
        <v/>
      </c>
      <c r="N39" s="73" t="str">
        <f>IF(AND('Mapa final'!$Y$47="Baja",'Mapa final'!$AA$47="Leve"),CONCATENATE("R4C",'Mapa final'!$O$47),"")</f>
        <v/>
      </c>
      <c r="O39" s="74" t="str">
        <f>IF(AND('Mapa final'!$Y$48="Baja",'Mapa final'!$AA$48="Leve"),CONCATENATE("R4C",'Mapa final'!$O$48),"")</f>
        <v/>
      </c>
      <c r="P39" s="63" t="str">
        <f>IF(AND('Mapa final'!$Y$43="Baja",'Mapa final'!$AA$43="Menor"),CONCATENATE("R4C",'Mapa final'!$O$43),"")</f>
        <v/>
      </c>
      <c r="Q39" s="64" t="str">
        <f>IF(AND('Mapa final'!$Y$44="Baja",'Mapa final'!$AA$44="Menor"),CONCATENATE("R4C",'Mapa final'!$O$44),"")</f>
        <v/>
      </c>
      <c r="R39" s="64" t="str">
        <f>IF(AND('Mapa final'!$Y$45="Baja",'Mapa final'!$AA$45="Menor"),CONCATENATE("R4C",'Mapa final'!$O$45),"")</f>
        <v/>
      </c>
      <c r="S39" s="64" t="str">
        <f>IF(AND('Mapa final'!$Y$46="Baja",'Mapa final'!$AA$46="Menor"),CONCATENATE("R4C",'Mapa final'!$O$46),"")</f>
        <v/>
      </c>
      <c r="T39" s="64" t="str">
        <f>IF(AND('Mapa final'!$Y$47="Baja",'Mapa final'!$AA$47="Menor"),CONCATENATE("R4C",'Mapa final'!$O$47),"")</f>
        <v/>
      </c>
      <c r="U39" s="65" t="str">
        <f>IF(AND('Mapa final'!$Y$48="Baja",'Mapa final'!$AA$48="Menor"),CONCATENATE("R4C",'Mapa final'!$O$48),"")</f>
        <v/>
      </c>
      <c r="V39" s="63" t="str">
        <f>IF(AND('Mapa final'!$Y$43="Baja",'Mapa final'!$AA$43="Moderado"),CONCATENATE("R4C",'Mapa final'!$O$43),"")</f>
        <v/>
      </c>
      <c r="W39" s="64" t="str">
        <f>IF(AND('Mapa final'!$Y$44="Baja",'Mapa final'!$AA$44="Moderado"),CONCATENATE("R4C",'Mapa final'!$O$44),"")</f>
        <v/>
      </c>
      <c r="X39" s="64" t="str">
        <f>IF(AND('Mapa final'!$Y$45="Baja",'Mapa final'!$AA$45="Moderado"),CONCATENATE("R4C",'Mapa final'!$O$45),"")</f>
        <v>R4C1</v>
      </c>
      <c r="Y39" s="64" t="str">
        <f>IF(AND('Mapa final'!$Y$46="Baja",'Mapa final'!$AA$46="Moderado"),CONCATENATE("R4C",'Mapa final'!$O$46),"")</f>
        <v/>
      </c>
      <c r="Z39" s="64" t="str">
        <f>IF(AND('Mapa final'!$Y$47="Baja",'Mapa final'!$AA$47="Moderado"),CONCATENATE("R4C",'Mapa final'!$O$47),"")</f>
        <v/>
      </c>
      <c r="AA39" s="65" t="str">
        <f>IF(AND('Mapa final'!$Y$48="Baja",'Mapa final'!$AA$48="Moderado"),CONCATENATE("R4C",'Mapa final'!$O$48),"")</f>
        <v>R4C1</v>
      </c>
      <c r="AB39" s="48" t="str">
        <f>IF(AND('Mapa final'!$Y$43="Baja",'Mapa final'!$AA$43="Mayor"),CONCATENATE("R4C",'Mapa final'!$O$43),"")</f>
        <v/>
      </c>
      <c r="AC39" s="49" t="str">
        <f>IF(AND('Mapa final'!$Y$44="Baja",'Mapa final'!$AA$44="Mayor"),CONCATENATE("R4C",'Mapa final'!$O$44),"")</f>
        <v/>
      </c>
      <c r="AD39" s="49" t="str">
        <f>IF(AND('Mapa final'!$Y$45="Baja",'Mapa final'!$AA$45="Mayor"),CONCATENATE("R4C",'Mapa final'!$O$45),"")</f>
        <v/>
      </c>
      <c r="AE39" s="49" t="str">
        <f>IF(AND('Mapa final'!$Y$46="Baja",'Mapa final'!$AA$46="Mayor"),CONCATENATE("R4C",'Mapa final'!$O$46),"")</f>
        <v>R4C1</v>
      </c>
      <c r="AF39" s="49" t="str">
        <f>IF(AND('Mapa final'!$Y$47="Baja",'Mapa final'!$AA$47="Mayor"),CONCATENATE("R4C",'Mapa final'!$O$47),"")</f>
        <v>R4C1</v>
      </c>
      <c r="AG39" s="50" t="str">
        <f>IF(AND('Mapa final'!$Y$48="Baja",'Mapa final'!$AA$48="Mayor"),CONCATENATE("R4C",'Mapa final'!$O$48),"")</f>
        <v/>
      </c>
      <c r="AH39" s="51" t="str">
        <f>IF(AND('Mapa final'!$Y$43="Baja",'Mapa final'!$AA$43="Catastrófico"),CONCATENATE("R4C",'Mapa final'!$O$43),"")</f>
        <v/>
      </c>
      <c r="AI39" s="52" t="str">
        <f>IF(AND('Mapa final'!$Y$44="Baja",'Mapa final'!$AA$44="Catastrófico"),CONCATENATE("R4C",'Mapa final'!$O$44),"")</f>
        <v/>
      </c>
      <c r="AJ39" s="52" t="str">
        <f>IF(AND('Mapa final'!$Y$45="Baja",'Mapa final'!$AA$45="Catastrófico"),CONCATENATE("R4C",'Mapa final'!$O$45),"")</f>
        <v/>
      </c>
      <c r="AK39" s="52" t="str">
        <f>IF(AND('Mapa final'!$Y$46="Baja",'Mapa final'!$AA$46="Catastrófico"),CONCATENATE("R4C",'Mapa final'!$O$46),"")</f>
        <v/>
      </c>
      <c r="AL39" s="52" t="str">
        <f>IF(AND('Mapa final'!$Y$47="Baja",'Mapa final'!$AA$47="Catastrófico"),CONCATENATE("R4C",'Mapa final'!$O$47),"")</f>
        <v/>
      </c>
      <c r="AM39" s="53" t="str">
        <f>IF(AND('Mapa final'!$Y$48="Baja",'Mapa final'!$AA$48="Catastrófico"),CONCATENATE("R4C",'Mapa final'!$O$48),"")</f>
        <v/>
      </c>
      <c r="AN39" s="79"/>
      <c r="AO39" s="479"/>
      <c r="AP39" s="480"/>
      <c r="AQ39" s="480"/>
      <c r="AR39" s="480"/>
      <c r="AS39" s="480"/>
      <c r="AT39" s="481"/>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9"/>
    </row>
    <row r="40" spans="1:80" ht="15" customHeight="1" x14ac:dyDescent="0.25">
      <c r="A40" s="79"/>
      <c r="B40" s="407"/>
      <c r="C40" s="407"/>
      <c r="D40" s="408"/>
      <c r="E40" s="448"/>
      <c r="F40" s="449"/>
      <c r="G40" s="449"/>
      <c r="H40" s="449"/>
      <c r="I40" s="449"/>
      <c r="J40" s="72" t="str">
        <f>IF(AND('Mapa final'!$Y$49="Baja",'Mapa final'!$AA$49="Leve"),CONCATENATE("R5C",'Mapa final'!$O$49),"")</f>
        <v/>
      </c>
      <c r="K40" s="73" t="str">
        <f>IF(AND('Mapa final'!$Y$50="Baja",'Mapa final'!$AA$50="Leve"),CONCATENATE("R5C",'Mapa final'!$O$50),"")</f>
        <v/>
      </c>
      <c r="L40" s="73" t="str">
        <f>IF(AND('Mapa final'!$Y$51="Baja",'Mapa final'!$AA$51="Leve"),CONCATENATE("R5C",'Mapa final'!$O$51),"")</f>
        <v/>
      </c>
      <c r="M40" s="73" t="str">
        <f>IF(AND('Mapa final'!$Y$52="Baja",'Mapa final'!$AA$52="Leve"),CONCATENATE("R5C",'Mapa final'!$O$52),"")</f>
        <v/>
      </c>
      <c r="N40" s="73" t="str">
        <f>IF(AND('Mapa final'!$Y$53="Baja",'Mapa final'!$AA$53="Leve"),CONCATENATE("R5C",'Mapa final'!$O$53),"")</f>
        <v/>
      </c>
      <c r="O40" s="74" t="e">
        <f>IF(AND('Mapa final'!#REF!="Baja",'Mapa final'!#REF!="Leve"),CONCATENATE("R5C",'Mapa final'!#REF!),"")</f>
        <v>#REF!</v>
      </c>
      <c r="P40" s="63" t="str">
        <f>IF(AND('Mapa final'!$Y$49="Baja",'Mapa final'!$AA$49="Menor"),CONCATENATE("R5C",'Mapa final'!$O$49),"")</f>
        <v/>
      </c>
      <c r="Q40" s="64" t="str">
        <f>IF(AND('Mapa final'!$Y$50="Baja",'Mapa final'!$AA$50="Menor"),CONCATENATE("R5C",'Mapa final'!$O$50),"")</f>
        <v>R5C1</v>
      </c>
      <c r="R40" s="64" t="str">
        <f>IF(AND('Mapa final'!$Y$51="Baja",'Mapa final'!$AA$51="Menor"),CONCATENATE("R5C",'Mapa final'!$O$51),"")</f>
        <v/>
      </c>
      <c r="S40" s="64" t="str">
        <f>IF(AND('Mapa final'!$Y$52="Baja",'Mapa final'!$AA$52="Menor"),CONCATENATE("R5C",'Mapa final'!$O$52),"")</f>
        <v/>
      </c>
      <c r="T40" s="64" t="str">
        <f>IF(AND('Mapa final'!$Y$53="Baja",'Mapa final'!$AA$53="Menor"),CONCATENATE("R5C",'Mapa final'!$O$53),"")</f>
        <v/>
      </c>
      <c r="U40" s="65" t="e">
        <f>IF(AND('Mapa final'!#REF!="Baja",'Mapa final'!#REF!="Menor"),CONCATENATE("R5C",'Mapa final'!#REF!),"")</f>
        <v>#REF!</v>
      </c>
      <c r="V40" s="63" t="str">
        <f>IF(AND('Mapa final'!$Y$49="Baja",'Mapa final'!$AA$49="Moderado"),CONCATENATE("R5C",'Mapa final'!$O$49),"")</f>
        <v>R5C1</v>
      </c>
      <c r="W40" s="64" t="str">
        <f>IF(AND('Mapa final'!$Y$50="Baja",'Mapa final'!$AA$50="Moderado"),CONCATENATE("R5C",'Mapa final'!$O$50),"")</f>
        <v/>
      </c>
      <c r="X40" s="64" t="str">
        <f>IF(AND('Mapa final'!$Y$51="Baja",'Mapa final'!$AA$51="Moderado"),CONCATENATE("R5C",'Mapa final'!$O$51),"")</f>
        <v/>
      </c>
      <c r="Y40" s="64" t="str">
        <f>IF(AND('Mapa final'!$Y$52="Baja",'Mapa final'!$AA$52="Moderado"),CONCATENATE("R5C",'Mapa final'!$O$52),"")</f>
        <v>R5C1</v>
      </c>
      <c r="Z40" s="64" t="str">
        <f>IF(AND('Mapa final'!$Y$53="Baja",'Mapa final'!$AA$53="Moderado"),CONCATENATE("R5C",'Mapa final'!$O$53),"")</f>
        <v/>
      </c>
      <c r="AA40" s="65" t="e">
        <f>IF(AND('Mapa final'!#REF!="Baja",'Mapa final'!#REF!="Moderado"),CONCATENATE("R5C",'Mapa final'!#REF!),"")</f>
        <v>#REF!</v>
      </c>
      <c r="AB40" s="48" t="str">
        <f>IF(AND('Mapa final'!$Y$49="Baja",'Mapa final'!$AA$49="Mayor"),CONCATENATE("R5C",'Mapa final'!$O$49),"")</f>
        <v/>
      </c>
      <c r="AC40" s="49" t="str">
        <f>IF(AND('Mapa final'!$Y$50="Baja",'Mapa final'!$AA$50="Mayor"),CONCATENATE("R5C",'Mapa final'!$O$50),"")</f>
        <v/>
      </c>
      <c r="AD40" s="49" t="str">
        <f>IF(AND('Mapa final'!$Y$51="Baja",'Mapa final'!$AA$51="Mayor"),CONCATENATE("R5C",'Mapa final'!$O$51),"")</f>
        <v/>
      </c>
      <c r="AE40" s="49" t="str">
        <f>IF(AND('Mapa final'!$Y$52="Baja",'Mapa final'!$AA$52="Mayor"),CONCATENATE("R5C",'Mapa final'!$O$52),"")</f>
        <v/>
      </c>
      <c r="AF40" s="49" t="str">
        <f>IF(AND('Mapa final'!$Y$53="Baja",'Mapa final'!$AA$53="Mayor"),CONCATENATE("R5C",'Mapa final'!$O$53),"")</f>
        <v/>
      </c>
      <c r="AG40" s="50" t="e">
        <f>IF(AND('Mapa final'!#REF!="Baja",'Mapa final'!#REF!="Mayor"),CONCATENATE("R5C",'Mapa final'!#REF!),"")</f>
        <v>#REF!</v>
      </c>
      <c r="AH40" s="51" t="str">
        <f>IF(AND('Mapa final'!$Y$49="Baja",'Mapa final'!$AA$49="Catastrófico"),CONCATENATE("R5C",'Mapa final'!$O$49),"")</f>
        <v/>
      </c>
      <c r="AI40" s="52" t="str">
        <f>IF(AND('Mapa final'!$Y$50="Baja",'Mapa final'!$AA$50="Catastrófico"),CONCATENATE("R5C",'Mapa final'!$O$50),"")</f>
        <v/>
      </c>
      <c r="AJ40" s="52" t="str">
        <f>IF(AND('Mapa final'!$Y$51="Baja",'Mapa final'!$AA$51="Catastrófico"),CONCATENATE("R5C",'Mapa final'!$O$51),"")</f>
        <v/>
      </c>
      <c r="AK40" s="52" t="str">
        <f>IF(AND('Mapa final'!$Y$52="Baja",'Mapa final'!$AA$52="Catastrófico"),CONCATENATE("R5C",'Mapa final'!$O$52),"")</f>
        <v/>
      </c>
      <c r="AL40" s="52" t="str">
        <f>IF(AND('Mapa final'!$Y$53="Baja",'Mapa final'!$AA$53="Catastrófico"),CONCATENATE("R5C",'Mapa final'!$O$53),"")</f>
        <v/>
      </c>
      <c r="AM40" s="53" t="e">
        <f>IF(AND('Mapa final'!#REF!="Baja",'Mapa final'!#REF!="Catastrófico"),CONCATENATE("R5C",'Mapa final'!#REF!),"")</f>
        <v>#REF!</v>
      </c>
      <c r="AN40" s="79"/>
      <c r="AO40" s="479"/>
      <c r="AP40" s="480"/>
      <c r="AQ40" s="480"/>
      <c r="AR40" s="480"/>
      <c r="AS40" s="480"/>
      <c r="AT40" s="481"/>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row>
    <row r="41" spans="1:80" ht="15" customHeight="1" x14ac:dyDescent="0.25">
      <c r="A41" s="79"/>
      <c r="B41" s="407"/>
      <c r="C41" s="407"/>
      <c r="D41" s="408"/>
      <c r="E41" s="448"/>
      <c r="F41" s="449"/>
      <c r="G41" s="449"/>
      <c r="H41" s="449"/>
      <c r="I41" s="449"/>
      <c r="J41" s="72" t="str">
        <f>IF(AND('Mapa final'!$Y$54="Baja",'Mapa final'!$AA$54="Leve"),CONCATENATE("R6C",'Mapa final'!$O$54),"")</f>
        <v/>
      </c>
      <c r="K41" s="73" t="str">
        <f>IF(AND('Mapa final'!$Y$55="Baja",'Mapa final'!$AA$55="Leve"),CONCATENATE("R6C",'Mapa final'!$O$55),"")</f>
        <v/>
      </c>
      <c r="L41" s="73" t="str">
        <f>IF(AND('Mapa final'!$Y$56="Baja",'Mapa final'!$AA$56="Leve"),CONCATENATE("R6C",'Mapa final'!$O$56),"")</f>
        <v/>
      </c>
      <c r="M41" s="73" t="str">
        <f>IF(AND('Mapa final'!$Y$57="Baja",'Mapa final'!$AA$57="Leve"),CONCATENATE("R6C",'Mapa final'!$O$57),"")</f>
        <v/>
      </c>
      <c r="N41" s="73" t="e">
        <f>IF(AND('Mapa final'!#REF!="Baja",'Mapa final'!#REF!="Leve"),CONCATENATE("R6C",'Mapa final'!#REF!),"")</f>
        <v>#REF!</v>
      </c>
      <c r="O41" s="74" t="e">
        <f>IF(AND('Mapa final'!#REF!="Baja",'Mapa final'!#REF!="Leve"),CONCATENATE("R6C",'Mapa final'!#REF!),"")</f>
        <v>#REF!</v>
      </c>
      <c r="P41" s="63" t="str">
        <f>IF(AND('Mapa final'!$Y$54="Baja",'Mapa final'!$AA$54="Menor"),CONCATENATE("R6C",'Mapa final'!$O$54),"")</f>
        <v>R6C1</v>
      </c>
      <c r="Q41" s="64" t="str">
        <f>IF(AND('Mapa final'!$Y$55="Baja",'Mapa final'!$AA$55="Menor"),CONCATENATE("R6C",'Mapa final'!$O$55),"")</f>
        <v/>
      </c>
      <c r="R41" s="64" t="str">
        <f>IF(AND('Mapa final'!$Y$56="Baja",'Mapa final'!$AA$56="Menor"),CONCATENATE("R6C",'Mapa final'!$O$56),"")</f>
        <v/>
      </c>
      <c r="S41" s="64" t="str">
        <f>IF(AND('Mapa final'!$Y$57="Baja",'Mapa final'!$AA$57="Menor"),CONCATENATE("R6C",'Mapa final'!$O$57),"")</f>
        <v/>
      </c>
      <c r="T41" s="64" t="e">
        <f>IF(AND('Mapa final'!#REF!="Baja",'Mapa final'!#REF!="Menor"),CONCATENATE("R6C",'Mapa final'!#REF!),"")</f>
        <v>#REF!</v>
      </c>
      <c r="U41" s="65" t="e">
        <f>IF(AND('Mapa final'!#REF!="Baja",'Mapa final'!#REF!="Menor"),CONCATENATE("R6C",'Mapa final'!#REF!),"")</f>
        <v>#REF!</v>
      </c>
      <c r="V41" s="63" t="str">
        <f>IF(AND('Mapa final'!$Y$54="Baja",'Mapa final'!$AA$54="Moderado"),CONCATENATE("R6C",'Mapa final'!$O$54),"")</f>
        <v/>
      </c>
      <c r="W41" s="64" t="str">
        <f>IF(AND('Mapa final'!$Y$55="Baja",'Mapa final'!$AA$55="Moderado"),CONCATENATE("R6C",'Mapa final'!$O$55),"")</f>
        <v>R6C1</v>
      </c>
      <c r="X41" s="64" t="str">
        <f>IF(AND('Mapa final'!$Y$56="Baja",'Mapa final'!$AA$56="Moderado"),CONCATENATE("R6C",'Mapa final'!$O$56),"")</f>
        <v/>
      </c>
      <c r="Y41" s="64" t="str">
        <f>IF(AND('Mapa final'!$Y$57="Baja",'Mapa final'!$AA$57="Moderado"),CONCATENATE("R6C",'Mapa final'!$O$57),"")</f>
        <v/>
      </c>
      <c r="Z41" s="64" t="e">
        <f>IF(AND('Mapa final'!#REF!="Baja",'Mapa final'!#REF!="Moderado"),CONCATENATE("R6C",'Mapa final'!#REF!),"")</f>
        <v>#REF!</v>
      </c>
      <c r="AA41" s="65" t="e">
        <f>IF(AND('Mapa final'!#REF!="Baja",'Mapa final'!#REF!="Moderado"),CONCATENATE("R6C",'Mapa final'!#REF!),"")</f>
        <v>#REF!</v>
      </c>
      <c r="AB41" s="48" t="str">
        <f>IF(AND('Mapa final'!$Y$54="Baja",'Mapa final'!$AA$54="Mayor"),CONCATENATE("R6C",'Mapa final'!$O$54),"")</f>
        <v/>
      </c>
      <c r="AC41" s="49" t="str">
        <f>IF(AND('Mapa final'!$Y$55="Baja",'Mapa final'!$AA$55="Mayor"),CONCATENATE("R6C",'Mapa final'!$O$55),"")</f>
        <v/>
      </c>
      <c r="AD41" s="49" t="str">
        <f>IF(AND('Mapa final'!$Y$56="Baja",'Mapa final'!$AA$56="Mayor"),CONCATENATE("R6C",'Mapa final'!$O$56),"")</f>
        <v>R6C1</v>
      </c>
      <c r="AE41" s="49" t="str">
        <f>IF(AND('Mapa final'!$Y$57="Baja",'Mapa final'!$AA$57="Mayor"),CONCATENATE("R6C",'Mapa final'!$O$57),"")</f>
        <v>R6C1</v>
      </c>
      <c r="AF41" s="49" t="e">
        <f>IF(AND('Mapa final'!#REF!="Baja",'Mapa final'!#REF!="Mayor"),CONCATENATE("R6C",'Mapa final'!#REF!),"")</f>
        <v>#REF!</v>
      </c>
      <c r="AG41" s="50" t="e">
        <f>IF(AND('Mapa final'!#REF!="Baja",'Mapa final'!#REF!="Mayor"),CONCATENATE("R6C",'Mapa final'!#REF!),"")</f>
        <v>#REF!</v>
      </c>
      <c r="AH41" s="51" t="str">
        <f>IF(AND('Mapa final'!$Y$54="Baja",'Mapa final'!$AA$54="Catastrófico"),CONCATENATE("R6C",'Mapa final'!$O$54),"")</f>
        <v/>
      </c>
      <c r="AI41" s="52" t="str">
        <f>IF(AND('Mapa final'!$Y$55="Baja",'Mapa final'!$AA$55="Catastrófico"),CONCATENATE("R6C",'Mapa final'!$O$55),"")</f>
        <v/>
      </c>
      <c r="AJ41" s="52" t="str">
        <f>IF(AND('Mapa final'!$Y$56="Baja",'Mapa final'!$AA$56="Catastrófico"),CONCATENATE("R6C",'Mapa final'!$O$56),"")</f>
        <v/>
      </c>
      <c r="AK41" s="52" t="str">
        <f>IF(AND('Mapa final'!$Y$57="Baja",'Mapa final'!$AA$57="Catastrófico"),CONCATENATE("R6C",'Mapa final'!$O$57),"")</f>
        <v/>
      </c>
      <c r="AL41" s="52" t="e">
        <f>IF(AND('Mapa final'!#REF!="Baja",'Mapa final'!#REF!="Catastrófico"),CONCATENATE("R6C",'Mapa final'!#REF!),"")</f>
        <v>#REF!</v>
      </c>
      <c r="AM41" s="53" t="e">
        <f>IF(AND('Mapa final'!#REF!="Baja",'Mapa final'!#REF!="Catastrófico"),CONCATENATE("R6C",'Mapa final'!#REF!),"")</f>
        <v>#REF!</v>
      </c>
      <c r="AN41" s="79"/>
      <c r="AO41" s="479"/>
      <c r="AP41" s="480"/>
      <c r="AQ41" s="480"/>
      <c r="AR41" s="480"/>
      <c r="AS41" s="480"/>
      <c r="AT41" s="481"/>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row>
    <row r="42" spans="1:80" ht="15" customHeight="1" x14ac:dyDescent="0.25">
      <c r="A42" s="79"/>
      <c r="B42" s="407"/>
      <c r="C42" s="407"/>
      <c r="D42" s="408"/>
      <c r="E42" s="448"/>
      <c r="F42" s="449"/>
      <c r="G42" s="449"/>
      <c r="H42" s="449"/>
      <c r="I42" s="449"/>
      <c r="J42" s="72" t="e">
        <f>IF(AND('Mapa final'!#REF!="Baja",'Mapa final'!#REF!="Leve"),CONCATENATE("R7C",'Mapa final'!#REF!),"")</f>
        <v>#REF!</v>
      </c>
      <c r="K42" s="73" t="e">
        <f>IF(AND('Mapa final'!#REF!="Baja",'Mapa final'!#REF!="Leve"),CONCATENATE("R7C",'Mapa final'!#REF!),"")</f>
        <v>#REF!</v>
      </c>
      <c r="L42" s="73" t="e">
        <f>IF(AND('Mapa final'!#REF!="Baja",'Mapa final'!#REF!="Leve"),CONCATENATE("R7C",'Mapa final'!#REF!),"")</f>
        <v>#REF!</v>
      </c>
      <c r="M42" s="73" t="e">
        <f>IF(AND('Mapa final'!#REF!="Baja",'Mapa final'!#REF!="Leve"),CONCATENATE("R7C",'Mapa final'!#REF!),"")</f>
        <v>#REF!</v>
      </c>
      <c r="N42" s="73" t="e">
        <f>IF(AND('Mapa final'!#REF!="Baja",'Mapa final'!#REF!="Leve"),CONCATENATE("R7C",'Mapa final'!#REF!),"")</f>
        <v>#REF!</v>
      </c>
      <c r="O42" s="74" t="e">
        <f>IF(AND('Mapa final'!#REF!="Baja",'Mapa final'!#REF!="Leve"),CONCATENATE("R7C",'Mapa final'!#REF!),"")</f>
        <v>#REF!</v>
      </c>
      <c r="P42" s="63" t="e">
        <f>IF(AND('Mapa final'!#REF!="Baja",'Mapa final'!#REF!="Menor"),CONCATENATE("R7C",'Mapa final'!#REF!),"")</f>
        <v>#REF!</v>
      </c>
      <c r="Q42" s="64" t="e">
        <f>IF(AND('Mapa final'!#REF!="Baja",'Mapa final'!#REF!="Menor"),CONCATENATE("R7C",'Mapa final'!#REF!),"")</f>
        <v>#REF!</v>
      </c>
      <c r="R42" s="64" t="e">
        <f>IF(AND('Mapa final'!#REF!="Baja",'Mapa final'!#REF!="Menor"),CONCATENATE("R7C",'Mapa final'!#REF!),"")</f>
        <v>#REF!</v>
      </c>
      <c r="S42" s="64" t="e">
        <f>IF(AND('Mapa final'!#REF!="Baja",'Mapa final'!#REF!="Menor"),CONCATENATE("R7C",'Mapa final'!#REF!),"")</f>
        <v>#REF!</v>
      </c>
      <c r="T42" s="64" t="e">
        <f>IF(AND('Mapa final'!#REF!="Baja",'Mapa final'!#REF!="Menor"),CONCATENATE("R7C",'Mapa final'!#REF!),"")</f>
        <v>#REF!</v>
      </c>
      <c r="U42" s="65" t="e">
        <f>IF(AND('Mapa final'!#REF!="Baja",'Mapa final'!#REF!="Menor"),CONCATENATE("R7C",'Mapa final'!#REF!),"")</f>
        <v>#REF!</v>
      </c>
      <c r="V42" s="63" t="e">
        <f>IF(AND('Mapa final'!#REF!="Baja",'Mapa final'!#REF!="Moderado"),CONCATENATE("R7C",'Mapa final'!#REF!),"")</f>
        <v>#REF!</v>
      </c>
      <c r="W42" s="64" t="e">
        <f>IF(AND('Mapa final'!#REF!="Baja",'Mapa final'!#REF!="Moderado"),CONCATENATE("R7C",'Mapa final'!#REF!),"")</f>
        <v>#REF!</v>
      </c>
      <c r="X42" s="64" t="e">
        <f>IF(AND('Mapa final'!#REF!="Baja",'Mapa final'!#REF!="Moderado"),CONCATENATE("R7C",'Mapa final'!#REF!),"")</f>
        <v>#REF!</v>
      </c>
      <c r="Y42" s="64" t="e">
        <f>IF(AND('Mapa final'!#REF!="Baja",'Mapa final'!#REF!="Moderado"),CONCATENATE("R7C",'Mapa final'!#REF!),"")</f>
        <v>#REF!</v>
      </c>
      <c r="Z42" s="64" t="e">
        <f>IF(AND('Mapa final'!#REF!="Baja",'Mapa final'!#REF!="Moderado"),CONCATENATE("R7C",'Mapa final'!#REF!),"")</f>
        <v>#REF!</v>
      </c>
      <c r="AA42" s="65" t="e">
        <f>IF(AND('Mapa final'!#REF!="Baja",'Mapa final'!#REF!="Moderado"),CONCATENATE("R7C",'Mapa final'!#REF!),"")</f>
        <v>#REF!</v>
      </c>
      <c r="AB42" s="48" t="e">
        <f>IF(AND('Mapa final'!#REF!="Baja",'Mapa final'!#REF!="Mayor"),CONCATENATE("R7C",'Mapa final'!#REF!),"")</f>
        <v>#REF!</v>
      </c>
      <c r="AC42" s="49" t="e">
        <f>IF(AND('Mapa final'!#REF!="Baja",'Mapa final'!#REF!="Mayor"),CONCATENATE("R7C",'Mapa final'!#REF!),"")</f>
        <v>#REF!</v>
      </c>
      <c r="AD42" s="49" t="e">
        <f>IF(AND('Mapa final'!#REF!="Baja",'Mapa final'!#REF!="Mayor"),CONCATENATE("R7C",'Mapa final'!#REF!),"")</f>
        <v>#REF!</v>
      </c>
      <c r="AE42" s="49" t="e">
        <f>IF(AND('Mapa final'!#REF!="Baja",'Mapa final'!#REF!="Mayor"),CONCATENATE("R7C",'Mapa final'!#REF!),"")</f>
        <v>#REF!</v>
      </c>
      <c r="AF42" s="49" t="e">
        <f>IF(AND('Mapa final'!#REF!="Baja",'Mapa final'!#REF!="Mayor"),CONCATENATE("R7C",'Mapa final'!#REF!),"")</f>
        <v>#REF!</v>
      </c>
      <c r="AG42" s="50" t="e">
        <f>IF(AND('Mapa final'!#REF!="Baja",'Mapa final'!#REF!="Mayor"),CONCATENATE("R7C",'Mapa final'!#REF!),"")</f>
        <v>#REF!</v>
      </c>
      <c r="AH42" s="51" t="e">
        <f>IF(AND('Mapa final'!#REF!="Baja",'Mapa final'!#REF!="Catastrófico"),CONCATENATE("R7C",'Mapa final'!#REF!),"")</f>
        <v>#REF!</v>
      </c>
      <c r="AI42" s="52" t="e">
        <f>IF(AND('Mapa final'!#REF!="Baja",'Mapa final'!#REF!="Catastrófico"),CONCATENATE("R7C",'Mapa final'!#REF!),"")</f>
        <v>#REF!</v>
      </c>
      <c r="AJ42" s="52" t="e">
        <f>IF(AND('Mapa final'!#REF!="Baja",'Mapa final'!#REF!="Catastrófico"),CONCATENATE("R7C",'Mapa final'!#REF!),"")</f>
        <v>#REF!</v>
      </c>
      <c r="AK42" s="52" t="e">
        <f>IF(AND('Mapa final'!#REF!="Baja",'Mapa final'!#REF!="Catastrófico"),CONCATENATE("R7C",'Mapa final'!#REF!),"")</f>
        <v>#REF!</v>
      </c>
      <c r="AL42" s="52" t="e">
        <f>IF(AND('Mapa final'!#REF!="Baja",'Mapa final'!#REF!="Catastrófico"),CONCATENATE("R7C",'Mapa final'!#REF!),"")</f>
        <v>#REF!</v>
      </c>
      <c r="AM42" s="53" t="e">
        <f>IF(AND('Mapa final'!#REF!="Baja",'Mapa final'!#REF!="Catastrófico"),CONCATENATE("R7C",'Mapa final'!#REF!),"")</f>
        <v>#REF!</v>
      </c>
      <c r="AN42" s="79"/>
      <c r="AO42" s="479"/>
      <c r="AP42" s="480"/>
      <c r="AQ42" s="480"/>
      <c r="AR42" s="480"/>
      <c r="AS42" s="480"/>
      <c r="AT42" s="481"/>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row>
    <row r="43" spans="1:80" ht="15" customHeight="1" x14ac:dyDescent="0.25">
      <c r="A43" s="79"/>
      <c r="B43" s="407"/>
      <c r="C43" s="407"/>
      <c r="D43" s="408"/>
      <c r="E43" s="448"/>
      <c r="F43" s="449"/>
      <c r="G43" s="449"/>
      <c r="H43" s="449"/>
      <c r="I43" s="449"/>
      <c r="J43" s="72" t="e">
        <f>IF(AND('Mapa final'!#REF!="Baja",'Mapa final'!#REF!="Leve"),CONCATENATE("R8C",'Mapa final'!#REF!),"")</f>
        <v>#REF!</v>
      </c>
      <c r="K43" s="73" t="e">
        <f>IF(AND('Mapa final'!#REF!="Baja",'Mapa final'!#REF!="Leve"),CONCATENATE("R8C",'Mapa final'!#REF!),"")</f>
        <v>#REF!</v>
      </c>
      <c r="L43" s="73" t="e">
        <f>IF(AND('Mapa final'!#REF!="Baja",'Mapa final'!#REF!="Leve"),CONCATENATE("R8C",'Mapa final'!#REF!),"")</f>
        <v>#REF!</v>
      </c>
      <c r="M43" s="73" t="e">
        <f>IF(AND('Mapa final'!#REF!="Baja",'Mapa final'!#REF!="Leve"),CONCATENATE("R8C",'Mapa final'!#REF!),"")</f>
        <v>#REF!</v>
      </c>
      <c r="N43" s="73" t="e">
        <f>IF(AND('Mapa final'!#REF!="Baja",'Mapa final'!#REF!="Leve"),CONCATENATE("R8C",'Mapa final'!#REF!),"")</f>
        <v>#REF!</v>
      </c>
      <c r="O43" s="74" t="e">
        <f>IF(AND('Mapa final'!#REF!="Baja",'Mapa final'!#REF!="Leve"),CONCATENATE("R8C",'Mapa final'!#REF!),"")</f>
        <v>#REF!</v>
      </c>
      <c r="P43" s="63" t="e">
        <f>IF(AND('Mapa final'!#REF!="Baja",'Mapa final'!#REF!="Menor"),CONCATENATE("R8C",'Mapa final'!#REF!),"")</f>
        <v>#REF!</v>
      </c>
      <c r="Q43" s="64" t="e">
        <f>IF(AND('Mapa final'!#REF!="Baja",'Mapa final'!#REF!="Menor"),CONCATENATE("R8C",'Mapa final'!#REF!),"")</f>
        <v>#REF!</v>
      </c>
      <c r="R43" s="64" t="e">
        <f>IF(AND('Mapa final'!#REF!="Baja",'Mapa final'!#REF!="Menor"),CONCATENATE("R8C",'Mapa final'!#REF!),"")</f>
        <v>#REF!</v>
      </c>
      <c r="S43" s="64" t="e">
        <f>IF(AND('Mapa final'!#REF!="Baja",'Mapa final'!#REF!="Menor"),CONCATENATE("R8C",'Mapa final'!#REF!),"")</f>
        <v>#REF!</v>
      </c>
      <c r="T43" s="64" t="e">
        <f>IF(AND('Mapa final'!#REF!="Baja",'Mapa final'!#REF!="Menor"),CONCATENATE("R8C",'Mapa final'!#REF!),"")</f>
        <v>#REF!</v>
      </c>
      <c r="U43" s="65" t="e">
        <f>IF(AND('Mapa final'!#REF!="Baja",'Mapa final'!#REF!="Menor"),CONCATENATE("R8C",'Mapa final'!#REF!),"")</f>
        <v>#REF!</v>
      </c>
      <c r="V43" s="63" t="e">
        <f>IF(AND('Mapa final'!#REF!="Baja",'Mapa final'!#REF!="Moderado"),CONCATENATE("R8C",'Mapa final'!#REF!),"")</f>
        <v>#REF!</v>
      </c>
      <c r="W43" s="64" t="e">
        <f>IF(AND('Mapa final'!#REF!="Baja",'Mapa final'!#REF!="Moderado"),CONCATENATE("R8C",'Mapa final'!#REF!),"")</f>
        <v>#REF!</v>
      </c>
      <c r="X43" s="64" t="e">
        <f>IF(AND('Mapa final'!#REF!="Baja",'Mapa final'!#REF!="Moderado"),CONCATENATE("R8C",'Mapa final'!#REF!),"")</f>
        <v>#REF!</v>
      </c>
      <c r="Y43" s="64" t="e">
        <f>IF(AND('Mapa final'!#REF!="Baja",'Mapa final'!#REF!="Moderado"),CONCATENATE("R8C",'Mapa final'!#REF!),"")</f>
        <v>#REF!</v>
      </c>
      <c r="Z43" s="64" t="e">
        <f>IF(AND('Mapa final'!#REF!="Baja",'Mapa final'!#REF!="Moderado"),CONCATENATE("R8C",'Mapa final'!#REF!),"")</f>
        <v>#REF!</v>
      </c>
      <c r="AA43" s="65" t="e">
        <f>IF(AND('Mapa final'!#REF!="Baja",'Mapa final'!#REF!="Moderado"),CONCATENATE("R8C",'Mapa final'!#REF!),"")</f>
        <v>#REF!</v>
      </c>
      <c r="AB43" s="48" t="e">
        <f>IF(AND('Mapa final'!#REF!="Baja",'Mapa final'!#REF!="Mayor"),CONCATENATE("R8C",'Mapa final'!#REF!),"")</f>
        <v>#REF!</v>
      </c>
      <c r="AC43" s="49" t="e">
        <f>IF(AND('Mapa final'!#REF!="Baja",'Mapa final'!#REF!="Mayor"),CONCATENATE("R8C",'Mapa final'!#REF!),"")</f>
        <v>#REF!</v>
      </c>
      <c r="AD43" s="49" t="e">
        <f>IF(AND('Mapa final'!#REF!="Baja",'Mapa final'!#REF!="Mayor"),CONCATENATE("R8C",'Mapa final'!#REF!),"")</f>
        <v>#REF!</v>
      </c>
      <c r="AE43" s="49" t="e">
        <f>IF(AND('Mapa final'!#REF!="Baja",'Mapa final'!#REF!="Mayor"),CONCATENATE("R8C",'Mapa final'!#REF!),"")</f>
        <v>#REF!</v>
      </c>
      <c r="AF43" s="49" t="e">
        <f>IF(AND('Mapa final'!#REF!="Baja",'Mapa final'!#REF!="Mayor"),CONCATENATE("R8C",'Mapa final'!#REF!),"")</f>
        <v>#REF!</v>
      </c>
      <c r="AG43" s="50" t="e">
        <f>IF(AND('Mapa final'!#REF!="Baja",'Mapa final'!#REF!="Mayor"),CONCATENATE("R8C",'Mapa final'!#REF!),"")</f>
        <v>#REF!</v>
      </c>
      <c r="AH43" s="51" t="e">
        <f>IF(AND('Mapa final'!#REF!="Baja",'Mapa final'!#REF!="Catastrófico"),CONCATENATE("R8C",'Mapa final'!#REF!),"")</f>
        <v>#REF!</v>
      </c>
      <c r="AI43" s="52" t="e">
        <f>IF(AND('Mapa final'!#REF!="Baja",'Mapa final'!#REF!="Catastrófico"),CONCATENATE("R8C",'Mapa final'!#REF!),"")</f>
        <v>#REF!</v>
      </c>
      <c r="AJ43" s="52" t="e">
        <f>IF(AND('Mapa final'!#REF!="Baja",'Mapa final'!#REF!="Catastrófico"),CONCATENATE("R8C",'Mapa final'!#REF!),"")</f>
        <v>#REF!</v>
      </c>
      <c r="AK43" s="52" t="e">
        <f>IF(AND('Mapa final'!#REF!="Baja",'Mapa final'!#REF!="Catastrófico"),CONCATENATE("R8C",'Mapa final'!#REF!),"")</f>
        <v>#REF!</v>
      </c>
      <c r="AL43" s="52" t="e">
        <f>IF(AND('Mapa final'!#REF!="Baja",'Mapa final'!#REF!="Catastrófico"),CONCATENATE("R8C",'Mapa final'!#REF!),"")</f>
        <v>#REF!</v>
      </c>
      <c r="AM43" s="53" t="e">
        <f>IF(AND('Mapa final'!#REF!="Baja",'Mapa final'!#REF!="Catastrófico"),CONCATENATE("R8C",'Mapa final'!#REF!),"")</f>
        <v>#REF!</v>
      </c>
      <c r="AN43" s="79"/>
      <c r="AO43" s="479"/>
      <c r="AP43" s="480"/>
      <c r="AQ43" s="480"/>
      <c r="AR43" s="480"/>
      <c r="AS43" s="480"/>
      <c r="AT43" s="481"/>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row>
    <row r="44" spans="1:80" ht="15" customHeight="1" x14ac:dyDescent="0.25">
      <c r="A44" s="79"/>
      <c r="B44" s="407"/>
      <c r="C44" s="407"/>
      <c r="D44" s="408"/>
      <c r="E44" s="448"/>
      <c r="F44" s="449"/>
      <c r="G44" s="449"/>
      <c r="H44" s="449"/>
      <c r="I44" s="449"/>
      <c r="J44" s="72" t="e">
        <f>IF(AND('Mapa final'!#REF!="Baja",'Mapa final'!#REF!="Leve"),CONCATENATE("R9C",'Mapa final'!#REF!),"")</f>
        <v>#REF!</v>
      </c>
      <c r="K44" s="73" t="e">
        <f>IF(AND('Mapa final'!#REF!="Baja",'Mapa final'!#REF!="Leve"),CONCATENATE("R9C",'Mapa final'!#REF!),"")</f>
        <v>#REF!</v>
      </c>
      <c r="L44" s="73" t="e">
        <f>IF(AND('Mapa final'!#REF!="Baja",'Mapa final'!#REF!="Leve"),CONCATENATE("R9C",'Mapa final'!#REF!),"")</f>
        <v>#REF!</v>
      </c>
      <c r="M44" s="73" t="e">
        <f>IF(AND('Mapa final'!#REF!="Baja",'Mapa final'!#REF!="Leve"),CONCATENATE("R9C",'Mapa final'!#REF!),"")</f>
        <v>#REF!</v>
      </c>
      <c r="N44" s="73" t="e">
        <f>IF(AND('Mapa final'!#REF!="Baja",'Mapa final'!#REF!="Leve"),CONCATENATE("R9C",'Mapa final'!#REF!),"")</f>
        <v>#REF!</v>
      </c>
      <c r="O44" s="74" t="e">
        <f>IF(AND('Mapa final'!#REF!="Baja",'Mapa final'!#REF!="Leve"),CONCATENATE("R9C",'Mapa final'!#REF!),"")</f>
        <v>#REF!</v>
      </c>
      <c r="P44" s="63" t="e">
        <f>IF(AND('Mapa final'!#REF!="Baja",'Mapa final'!#REF!="Menor"),CONCATENATE("R9C",'Mapa final'!#REF!),"")</f>
        <v>#REF!</v>
      </c>
      <c r="Q44" s="64" t="e">
        <f>IF(AND('Mapa final'!#REF!="Baja",'Mapa final'!#REF!="Menor"),CONCATENATE("R9C",'Mapa final'!#REF!),"")</f>
        <v>#REF!</v>
      </c>
      <c r="R44" s="64" t="e">
        <f>IF(AND('Mapa final'!#REF!="Baja",'Mapa final'!#REF!="Menor"),CONCATENATE("R9C",'Mapa final'!#REF!),"")</f>
        <v>#REF!</v>
      </c>
      <c r="S44" s="64" t="e">
        <f>IF(AND('Mapa final'!#REF!="Baja",'Mapa final'!#REF!="Menor"),CONCATENATE("R9C",'Mapa final'!#REF!),"")</f>
        <v>#REF!</v>
      </c>
      <c r="T44" s="64" t="e">
        <f>IF(AND('Mapa final'!#REF!="Baja",'Mapa final'!#REF!="Menor"),CONCATENATE("R9C",'Mapa final'!#REF!),"")</f>
        <v>#REF!</v>
      </c>
      <c r="U44" s="65" t="e">
        <f>IF(AND('Mapa final'!#REF!="Baja",'Mapa final'!#REF!="Menor"),CONCATENATE("R9C",'Mapa final'!#REF!),"")</f>
        <v>#REF!</v>
      </c>
      <c r="V44" s="63" t="e">
        <f>IF(AND('Mapa final'!#REF!="Baja",'Mapa final'!#REF!="Moderado"),CONCATENATE("R9C",'Mapa final'!#REF!),"")</f>
        <v>#REF!</v>
      </c>
      <c r="W44" s="64" t="e">
        <f>IF(AND('Mapa final'!#REF!="Baja",'Mapa final'!#REF!="Moderado"),CONCATENATE("R9C",'Mapa final'!#REF!),"")</f>
        <v>#REF!</v>
      </c>
      <c r="X44" s="64" t="e">
        <f>IF(AND('Mapa final'!#REF!="Baja",'Mapa final'!#REF!="Moderado"),CONCATENATE("R9C",'Mapa final'!#REF!),"")</f>
        <v>#REF!</v>
      </c>
      <c r="Y44" s="64" t="e">
        <f>IF(AND('Mapa final'!#REF!="Baja",'Mapa final'!#REF!="Moderado"),CONCATENATE("R9C",'Mapa final'!#REF!),"")</f>
        <v>#REF!</v>
      </c>
      <c r="Z44" s="64" t="e">
        <f>IF(AND('Mapa final'!#REF!="Baja",'Mapa final'!#REF!="Moderado"),CONCATENATE("R9C",'Mapa final'!#REF!),"")</f>
        <v>#REF!</v>
      </c>
      <c r="AA44" s="65" t="e">
        <f>IF(AND('Mapa final'!#REF!="Baja",'Mapa final'!#REF!="Moderado"),CONCATENATE("R9C",'Mapa final'!#REF!),"")</f>
        <v>#REF!</v>
      </c>
      <c r="AB44" s="48" t="e">
        <f>IF(AND('Mapa final'!#REF!="Baja",'Mapa final'!#REF!="Mayor"),CONCATENATE("R9C",'Mapa final'!#REF!),"")</f>
        <v>#REF!</v>
      </c>
      <c r="AC44" s="49" t="e">
        <f>IF(AND('Mapa final'!#REF!="Baja",'Mapa final'!#REF!="Mayor"),CONCATENATE("R9C",'Mapa final'!#REF!),"")</f>
        <v>#REF!</v>
      </c>
      <c r="AD44" s="49" t="e">
        <f>IF(AND('Mapa final'!#REF!="Baja",'Mapa final'!#REF!="Mayor"),CONCATENATE("R9C",'Mapa final'!#REF!),"")</f>
        <v>#REF!</v>
      </c>
      <c r="AE44" s="49" t="e">
        <f>IF(AND('Mapa final'!#REF!="Baja",'Mapa final'!#REF!="Mayor"),CONCATENATE("R9C",'Mapa final'!#REF!),"")</f>
        <v>#REF!</v>
      </c>
      <c r="AF44" s="49" t="e">
        <f>IF(AND('Mapa final'!#REF!="Baja",'Mapa final'!#REF!="Mayor"),CONCATENATE("R9C",'Mapa final'!#REF!),"")</f>
        <v>#REF!</v>
      </c>
      <c r="AG44" s="50" t="e">
        <f>IF(AND('Mapa final'!#REF!="Baja",'Mapa final'!#REF!="Mayor"),CONCATENATE("R9C",'Mapa final'!#REF!),"")</f>
        <v>#REF!</v>
      </c>
      <c r="AH44" s="51" t="e">
        <f>IF(AND('Mapa final'!#REF!="Baja",'Mapa final'!#REF!="Catastrófico"),CONCATENATE("R9C",'Mapa final'!#REF!),"")</f>
        <v>#REF!</v>
      </c>
      <c r="AI44" s="52" t="e">
        <f>IF(AND('Mapa final'!#REF!="Baja",'Mapa final'!#REF!="Catastrófico"),CONCATENATE("R9C",'Mapa final'!#REF!),"")</f>
        <v>#REF!</v>
      </c>
      <c r="AJ44" s="52" t="e">
        <f>IF(AND('Mapa final'!#REF!="Baja",'Mapa final'!#REF!="Catastrófico"),CONCATENATE("R9C",'Mapa final'!#REF!),"")</f>
        <v>#REF!</v>
      </c>
      <c r="AK44" s="52" t="e">
        <f>IF(AND('Mapa final'!#REF!="Baja",'Mapa final'!#REF!="Catastrófico"),CONCATENATE("R9C",'Mapa final'!#REF!),"")</f>
        <v>#REF!</v>
      </c>
      <c r="AL44" s="52" t="e">
        <f>IF(AND('Mapa final'!#REF!="Baja",'Mapa final'!#REF!="Catastrófico"),CONCATENATE("R9C",'Mapa final'!#REF!),"")</f>
        <v>#REF!</v>
      </c>
      <c r="AM44" s="53" t="e">
        <f>IF(AND('Mapa final'!#REF!="Baja",'Mapa final'!#REF!="Catastrófico"),CONCATENATE("R9C",'Mapa final'!#REF!),"")</f>
        <v>#REF!</v>
      </c>
      <c r="AN44" s="79"/>
      <c r="AO44" s="479"/>
      <c r="AP44" s="480"/>
      <c r="AQ44" s="480"/>
      <c r="AR44" s="480"/>
      <c r="AS44" s="480"/>
      <c r="AT44" s="481"/>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row>
    <row r="45" spans="1:80" ht="15.75" customHeight="1" thickBot="1" x14ac:dyDescent="0.3">
      <c r="A45" s="79"/>
      <c r="B45" s="407"/>
      <c r="C45" s="407"/>
      <c r="D45" s="408"/>
      <c r="E45" s="451"/>
      <c r="F45" s="452"/>
      <c r="G45" s="452"/>
      <c r="H45" s="452"/>
      <c r="I45" s="452"/>
      <c r="J45" s="75" t="e">
        <f>IF(AND('Mapa final'!#REF!="Baja",'Mapa final'!#REF!="Leve"),CONCATENATE("R10C",'Mapa final'!#REF!),"")</f>
        <v>#REF!</v>
      </c>
      <c r="K45" s="76" t="e">
        <f>IF(AND('Mapa final'!#REF!="Baja",'Mapa final'!#REF!="Leve"),CONCATENATE("R10C",'Mapa final'!#REF!),"")</f>
        <v>#REF!</v>
      </c>
      <c r="L45" s="76" t="e">
        <f>IF(AND('Mapa final'!#REF!="Baja",'Mapa final'!#REF!="Leve"),CONCATENATE("R10C",'Mapa final'!#REF!),"")</f>
        <v>#REF!</v>
      </c>
      <c r="M45" s="76" t="e">
        <f>IF(AND('Mapa final'!#REF!="Baja",'Mapa final'!#REF!="Leve"),CONCATENATE("R10C",'Mapa final'!#REF!),"")</f>
        <v>#REF!</v>
      </c>
      <c r="N45" s="76" t="e">
        <f>IF(AND('Mapa final'!#REF!="Baja",'Mapa final'!#REF!="Leve"),CONCATENATE("R10C",'Mapa final'!#REF!),"")</f>
        <v>#REF!</v>
      </c>
      <c r="O45" s="77" t="e">
        <f>IF(AND('Mapa final'!#REF!="Baja",'Mapa final'!#REF!="Leve"),CONCATENATE("R10C",'Mapa final'!#REF!),"")</f>
        <v>#REF!</v>
      </c>
      <c r="P45" s="63" t="e">
        <f>IF(AND('Mapa final'!#REF!="Baja",'Mapa final'!#REF!="Menor"),CONCATENATE("R10C",'Mapa final'!#REF!),"")</f>
        <v>#REF!</v>
      </c>
      <c r="Q45" s="64" t="e">
        <f>IF(AND('Mapa final'!#REF!="Baja",'Mapa final'!#REF!="Menor"),CONCATENATE("R10C",'Mapa final'!#REF!),"")</f>
        <v>#REF!</v>
      </c>
      <c r="R45" s="64" t="e">
        <f>IF(AND('Mapa final'!#REF!="Baja",'Mapa final'!#REF!="Menor"),CONCATENATE("R10C",'Mapa final'!#REF!),"")</f>
        <v>#REF!</v>
      </c>
      <c r="S45" s="64" t="e">
        <f>IF(AND('Mapa final'!#REF!="Baja",'Mapa final'!#REF!="Menor"),CONCATENATE("R10C",'Mapa final'!#REF!),"")</f>
        <v>#REF!</v>
      </c>
      <c r="T45" s="64" t="e">
        <f>IF(AND('Mapa final'!#REF!="Baja",'Mapa final'!#REF!="Menor"),CONCATENATE("R10C",'Mapa final'!#REF!),"")</f>
        <v>#REF!</v>
      </c>
      <c r="U45" s="65" t="e">
        <f>IF(AND('Mapa final'!#REF!="Baja",'Mapa final'!#REF!="Menor"),CONCATENATE("R10C",'Mapa final'!#REF!),"")</f>
        <v>#REF!</v>
      </c>
      <c r="V45" s="66" t="e">
        <f>IF(AND('Mapa final'!#REF!="Baja",'Mapa final'!#REF!="Moderado"),CONCATENATE("R10C",'Mapa final'!#REF!),"")</f>
        <v>#REF!</v>
      </c>
      <c r="W45" s="67" t="e">
        <f>IF(AND('Mapa final'!#REF!="Baja",'Mapa final'!#REF!="Moderado"),CONCATENATE("R10C",'Mapa final'!#REF!),"")</f>
        <v>#REF!</v>
      </c>
      <c r="X45" s="67" t="e">
        <f>IF(AND('Mapa final'!#REF!="Baja",'Mapa final'!#REF!="Moderado"),CONCATENATE("R10C",'Mapa final'!#REF!),"")</f>
        <v>#REF!</v>
      </c>
      <c r="Y45" s="67" t="e">
        <f>IF(AND('Mapa final'!#REF!="Baja",'Mapa final'!#REF!="Moderado"),CONCATENATE("R10C",'Mapa final'!#REF!),"")</f>
        <v>#REF!</v>
      </c>
      <c r="Z45" s="67" t="e">
        <f>IF(AND('Mapa final'!#REF!="Baja",'Mapa final'!#REF!="Moderado"),CONCATENATE("R10C",'Mapa final'!#REF!),"")</f>
        <v>#REF!</v>
      </c>
      <c r="AA45" s="68" t="e">
        <f>IF(AND('Mapa final'!#REF!="Baja",'Mapa final'!#REF!="Moderado"),CONCATENATE("R10C",'Mapa final'!#REF!),"")</f>
        <v>#REF!</v>
      </c>
      <c r="AB45" s="54" t="e">
        <f>IF(AND('Mapa final'!#REF!="Baja",'Mapa final'!#REF!="Mayor"),CONCATENATE("R10C",'Mapa final'!#REF!),"")</f>
        <v>#REF!</v>
      </c>
      <c r="AC45" s="55" t="e">
        <f>IF(AND('Mapa final'!#REF!="Baja",'Mapa final'!#REF!="Mayor"),CONCATENATE("R10C",'Mapa final'!#REF!),"")</f>
        <v>#REF!</v>
      </c>
      <c r="AD45" s="55" t="e">
        <f>IF(AND('Mapa final'!#REF!="Baja",'Mapa final'!#REF!="Mayor"),CONCATENATE("R10C",'Mapa final'!#REF!),"")</f>
        <v>#REF!</v>
      </c>
      <c r="AE45" s="55" t="e">
        <f>IF(AND('Mapa final'!#REF!="Baja",'Mapa final'!#REF!="Mayor"),CONCATENATE("R10C",'Mapa final'!#REF!),"")</f>
        <v>#REF!</v>
      </c>
      <c r="AF45" s="55" t="e">
        <f>IF(AND('Mapa final'!#REF!="Baja",'Mapa final'!#REF!="Mayor"),CONCATENATE("R10C",'Mapa final'!#REF!),"")</f>
        <v>#REF!</v>
      </c>
      <c r="AG45" s="56" t="e">
        <f>IF(AND('Mapa final'!#REF!="Baja",'Mapa final'!#REF!="Mayor"),CONCATENATE("R10C",'Mapa final'!#REF!),"")</f>
        <v>#REF!</v>
      </c>
      <c r="AH45" s="57" t="e">
        <f>IF(AND('Mapa final'!#REF!="Baja",'Mapa final'!#REF!="Catastrófico"),CONCATENATE("R10C",'Mapa final'!#REF!),"")</f>
        <v>#REF!</v>
      </c>
      <c r="AI45" s="58" t="e">
        <f>IF(AND('Mapa final'!#REF!="Baja",'Mapa final'!#REF!="Catastrófico"),CONCATENATE("R10C",'Mapa final'!#REF!),"")</f>
        <v>#REF!</v>
      </c>
      <c r="AJ45" s="58" t="e">
        <f>IF(AND('Mapa final'!#REF!="Baja",'Mapa final'!#REF!="Catastrófico"),CONCATENATE("R10C",'Mapa final'!#REF!),"")</f>
        <v>#REF!</v>
      </c>
      <c r="AK45" s="58" t="e">
        <f>IF(AND('Mapa final'!#REF!="Baja",'Mapa final'!#REF!="Catastrófico"),CONCATENATE("R10C",'Mapa final'!#REF!),"")</f>
        <v>#REF!</v>
      </c>
      <c r="AL45" s="58" t="e">
        <f>IF(AND('Mapa final'!#REF!="Baja",'Mapa final'!#REF!="Catastrófico"),CONCATENATE("R10C",'Mapa final'!#REF!),"")</f>
        <v>#REF!</v>
      </c>
      <c r="AM45" s="59" t="e">
        <f>IF(AND('Mapa final'!#REF!="Baja",'Mapa final'!#REF!="Catastrófico"),CONCATENATE("R10C",'Mapa final'!#REF!),"")</f>
        <v>#REF!</v>
      </c>
      <c r="AN45" s="79"/>
      <c r="AO45" s="482"/>
      <c r="AP45" s="483"/>
      <c r="AQ45" s="483"/>
      <c r="AR45" s="483"/>
      <c r="AS45" s="483"/>
      <c r="AT45" s="484"/>
    </row>
    <row r="46" spans="1:80" ht="46.5" customHeight="1" x14ac:dyDescent="0.35">
      <c r="A46" s="79"/>
      <c r="B46" s="407"/>
      <c r="C46" s="407"/>
      <c r="D46" s="408"/>
      <c r="E46" s="445" t="s">
        <v>113</v>
      </c>
      <c r="F46" s="446"/>
      <c r="G46" s="446"/>
      <c r="H46" s="446"/>
      <c r="I46" s="447"/>
      <c r="J46" s="69" t="e">
        <f>IF(AND('Mapa final'!#REF!="Muy Baja",'Mapa final'!#REF!="Leve"),CONCATENATE("R1C",'Mapa final'!#REF!),"")</f>
        <v>#REF!</v>
      </c>
      <c r="K46" s="70" t="e">
        <f>IF(AND('Mapa final'!#REF!="Muy Baja",'Mapa final'!#REF!="Leve"),CONCATENATE("R1C",'Mapa final'!#REF!),"")</f>
        <v>#REF!</v>
      </c>
      <c r="L46" s="70" t="e">
        <f>IF(AND('Mapa final'!#REF!="Muy Baja",'Mapa final'!#REF!="Leve"),CONCATENATE("R1C",'Mapa final'!#REF!),"")</f>
        <v>#REF!</v>
      </c>
      <c r="M46" s="70" t="str">
        <f>IF(AND('Mapa final'!$Y$10="Muy Baja",'Mapa final'!$AA$10="Leve"),CONCATENATE("R1C",'Mapa final'!$O$10),"")</f>
        <v/>
      </c>
      <c r="N46" s="70" t="str">
        <f>IF(AND('Mapa final'!$Y$14="Muy Baja",'Mapa final'!$AA$14="Leve"),CONCATENATE("R1C",'Mapa final'!$O$14),"")</f>
        <v/>
      </c>
      <c r="O46" s="71" t="str">
        <f>IF(AND('Mapa final'!$Y$17="Muy Baja",'Mapa final'!$AA$17="Leve"),CONCATENATE("R1C",'Mapa final'!$O$17),"")</f>
        <v/>
      </c>
      <c r="P46" s="69" t="e">
        <f>IF(AND('Mapa final'!#REF!="Muy Baja",'Mapa final'!#REF!="Menor"),CONCATENATE("R1C",'Mapa final'!#REF!),"")</f>
        <v>#REF!</v>
      </c>
      <c r="Q46" s="70" t="e">
        <f>IF(AND('Mapa final'!#REF!="Muy Baja",'Mapa final'!#REF!="Menor"),CONCATENATE("R1C",'Mapa final'!#REF!),"")</f>
        <v>#REF!</v>
      </c>
      <c r="R46" s="70" t="e">
        <f>IF(AND('Mapa final'!#REF!="Muy Baja",'Mapa final'!#REF!="Menor"),CONCATENATE("R1C",'Mapa final'!#REF!),"")</f>
        <v>#REF!</v>
      </c>
      <c r="S46" s="70" t="str">
        <f>IF(AND('Mapa final'!$Y$10="Muy Baja",'Mapa final'!$AA$10="Menor"),CONCATENATE("R1C",'Mapa final'!$O$10),"")</f>
        <v/>
      </c>
      <c r="T46" s="70" t="str">
        <f>IF(AND('Mapa final'!$Y$14="Muy Baja",'Mapa final'!$AA$14="Menor"),CONCATENATE("R1C",'Mapa final'!$O$14),"")</f>
        <v/>
      </c>
      <c r="U46" s="71" t="str">
        <f>IF(AND('Mapa final'!$Y$17="Muy Baja",'Mapa final'!$AA$17="Menor"),CONCATENATE("R1C",'Mapa final'!$O$17),"")</f>
        <v/>
      </c>
      <c r="V46" s="60" t="e">
        <f>IF(AND('Mapa final'!#REF!="Muy Baja",'Mapa final'!#REF!="Moderado"),CONCATENATE("R1C",'Mapa final'!#REF!),"")</f>
        <v>#REF!</v>
      </c>
      <c r="W46" s="78" t="e">
        <f>IF(AND('Mapa final'!#REF!="Muy Baja",'Mapa final'!#REF!="Moderado"),CONCATENATE("R1C",'Mapa final'!#REF!),"")</f>
        <v>#REF!</v>
      </c>
      <c r="X46" s="61" t="e">
        <f>IF(AND('Mapa final'!#REF!="Muy Baja",'Mapa final'!#REF!="Moderado"),CONCATENATE("R1C",'Mapa final'!#REF!),"")</f>
        <v>#REF!</v>
      </c>
      <c r="Y46" s="61" t="str">
        <f>IF(AND('Mapa final'!$Y$10="Muy Baja",'Mapa final'!$AA$10="Moderado"),CONCATENATE("R1C",'Mapa final'!$O$10),"")</f>
        <v/>
      </c>
      <c r="Z46" s="61" t="str">
        <f>IF(AND('Mapa final'!$Y$14="Muy Baja",'Mapa final'!$AA$14="Moderado"),CONCATENATE("R1C",'Mapa final'!$O$14),"")</f>
        <v/>
      </c>
      <c r="AA46" s="62" t="str">
        <f>IF(AND('Mapa final'!$Y$17="Muy Baja",'Mapa final'!$AA$17="Moderado"),CONCATENATE("R1C",'Mapa final'!$O$17),"")</f>
        <v/>
      </c>
      <c r="AB46" s="42" t="e">
        <f>IF(AND('Mapa final'!#REF!="Muy Baja",'Mapa final'!#REF!="Mayor"),CONCATENATE("R1C",'Mapa final'!#REF!),"")</f>
        <v>#REF!</v>
      </c>
      <c r="AC46" s="43" t="e">
        <f>IF(AND('Mapa final'!#REF!="Muy Baja",'Mapa final'!#REF!="Mayor"),CONCATENATE("R1C",'Mapa final'!#REF!),"")</f>
        <v>#REF!</v>
      </c>
      <c r="AD46" s="43" t="e">
        <f>IF(AND('Mapa final'!#REF!="Muy Baja",'Mapa final'!#REF!="Mayor"),CONCATENATE("R1C",'Mapa final'!#REF!),"")</f>
        <v>#REF!</v>
      </c>
      <c r="AE46" s="43" t="str">
        <f>IF(AND('Mapa final'!$Y$10="Muy Baja",'Mapa final'!$AA$10="Mayor"),CONCATENATE("R1C",'Mapa final'!$O$10),"")</f>
        <v/>
      </c>
      <c r="AF46" s="43" t="str">
        <f>IF(AND('Mapa final'!$Y$14="Muy Baja",'Mapa final'!$AA$14="Mayor"),CONCATENATE("R1C",'Mapa final'!$O$14),"")</f>
        <v/>
      </c>
      <c r="AG46" s="44" t="str">
        <f>IF(AND('Mapa final'!$Y$17="Muy Baja",'Mapa final'!$AA$17="Mayor"),CONCATENATE("R1C",'Mapa final'!$O$17),"")</f>
        <v/>
      </c>
      <c r="AH46" s="45" t="e">
        <f>IF(AND('Mapa final'!#REF!="Muy Baja",'Mapa final'!#REF!="Catastrófico"),CONCATENATE("R1C",'Mapa final'!#REF!),"")</f>
        <v>#REF!</v>
      </c>
      <c r="AI46" s="46" t="e">
        <f>IF(AND('Mapa final'!#REF!="Muy Baja",'Mapa final'!#REF!="Catastrófico"),CONCATENATE("R1C",'Mapa final'!#REF!),"")</f>
        <v>#REF!</v>
      </c>
      <c r="AJ46" s="46" t="e">
        <f>IF(AND('Mapa final'!#REF!="Muy Baja",'Mapa final'!#REF!="Catastrófico"),CONCATENATE("R1C",'Mapa final'!#REF!),"")</f>
        <v>#REF!</v>
      </c>
      <c r="AK46" s="46" t="str">
        <f>IF(AND('Mapa final'!$Y$10="Muy Baja",'Mapa final'!$AA$10="Catastrófico"),CONCATENATE("R1C",'Mapa final'!$O$10),"")</f>
        <v/>
      </c>
      <c r="AL46" s="46" t="str">
        <f>IF(AND('Mapa final'!$Y$14="Muy Baja",'Mapa final'!$AA$14="Catastrófico"),CONCATENATE("R1C",'Mapa final'!$O$14),"")</f>
        <v/>
      </c>
      <c r="AM46" s="47" t="str">
        <f>IF(AND('Mapa final'!$Y$17="Muy Baja",'Mapa final'!$AA$17="Catastrófico"),CONCATENATE("R1C",'Mapa final'!$O$17),"")</f>
        <v/>
      </c>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row>
    <row r="47" spans="1:80" ht="46.5" customHeight="1" x14ac:dyDescent="0.25">
      <c r="A47" s="79"/>
      <c r="B47" s="407"/>
      <c r="C47" s="407"/>
      <c r="D47" s="408"/>
      <c r="E47" s="464"/>
      <c r="F47" s="449"/>
      <c r="G47" s="449"/>
      <c r="H47" s="449"/>
      <c r="I47" s="450"/>
      <c r="J47" s="72" t="str">
        <f>IF(AND('Mapa final'!$Y$19="Muy Baja",'Mapa final'!$AA$19="Leve"),CONCATENATE("R2C",'Mapa final'!$O$19),"")</f>
        <v/>
      </c>
      <c r="K47" s="73" t="str">
        <f>IF(AND('Mapa final'!$Y$22="Muy Baja",'Mapa final'!$AA$22="Leve"),CONCATENATE("R2C",'Mapa final'!$O$22),"")</f>
        <v/>
      </c>
      <c r="L47" s="73" t="str">
        <f>IF(AND('Mapa final'!$Y$25="Muy Baja",'Mapa final'!$AA$25="Leve"),CONCATENATE("R2C",'Mapa final'!$O$25),"")</f>
        <v/>
      </c>
      <c r="M47" s="73" t="str">
        <f>IF(AND('Mapa final'!$Y$26="Muy Baja",'Mapa final'!$AA$26="Leve"),CONCATENATE("R2C",'Mapa final'!$O$26),"")</f>
        <v/>
      </c>
      <c r="N47" s="73" t="str">
        <f>IF(AND('Mapa final'!$Y$27="Muy Baja",'Mapa final'!$AA$27="Leve"),CONCATENATE("R2C",'Mapa final'!$O$27),"")</f>
        <v/>
      </c>
      <c r="O47" s="74" t="str">
        <f>IF(AND('Mapa final'!$Y$28="Muy Baja",'Mapa final'!$AA$28="Leve"),CONCATENATE("R2C",'Mapa final'!$O$28),"")</f>
        <v/>
      </c>
      <c r="P47" s="72" t="str">
        <f>IF(AND('Mapa final'!$Y$19="Muy Baja",'Mapa final'!$AA$19="Menor"),CONCATENATE("R2C",'Mapa final'!$O$19),"")</f>
        <v/>
      </c>
      <c r="Q47" s="73" t="str">
        <f>IF(AND('Mapa final'!$Y$22="Muy Baja",'Mapa final'!$AA$22="Menor"),CONCATENATE("R2C",'Mapa final'!$O$22),"")</f>
        <v/>
      </c>
      <c r="R47" s="73" t="str">
        <f>IF(AND('Mapa final'!$Y$25="Muy Baja",'Mapa final'!$AA$25="Menor"),CONCATENATE("R2C",'Mapa final'!$O$25),"")</f>
        <v/>
      </c>
      <c r="S47" s="73" t="str">
        <f>IF(AND('Mapa final'!$Y$26="Muy Baja",'Mapa final'!$AA$26="Menor"),CONCATENATE("R2C",'Mapa final'!$O$26),"")</f>
        <v/>
      </c>
      <c r="T47" s="73" t="str">
        <f>IF(AND('Mapa final'!$Y$27="Muy Baja",'Mapa final'!$AA$27="Menor"),CONCATENATE("R2C",'Mapa final'!$O$27),"")</f>
        <v/>
      </c>
      <c r="U47" s="74" t="str">
        <f>IF(AND('Mapa final'!$Y$28="Muy Baja",'Mapa final'!$AA$28="Menor"),CONCATENATE("R2C",'Mapa final'!$O$28),"")</f>
        <v/>
      </c>
      <c r="V47" s="63" t="str">
        <f>IF(AND('Mapa final'!$Y$19="Muy Baja",'Mapa final'!$AA$19="Moderado"),CONCATENATE("R2C",'Mapa final'!$O$19),"")</f>
        <v/>
      </c>
      <c r="W47" s="64" t="str">
        <f>IF(AND('Mapa final'!$Y$22="Muy Baja",'Mapa final'!$AA$22="Moderado"),CONCATENATE("R2C",'Mapa final'!$O$22),"")</f>
        <v/>
      </c>
      <c r="X47" s="64" t="str">
        <f>IF(AND('Mapa final'!$Y$25="Muy Baja",'Mapa final'!$AA$25="Moderado"),CONCATENATE("R2C",'Mapa final'!$O$25),"")</f>
        <v/>
      </c>
      <c r="Y47" s="64" t="str">
        <f>IF(AND('Mapa final'!$Y$26="Muy Baja",'Mapa final'!$AA$26="Moderado"),CONCATENATE("R2C",'Mapa final'!$O$26),"")</f>
        <v/>
      </c>
      <c r="Z47" s="64" t="str">
        <f>IF(AND('Mapa final'!$Y$27="Muy Baja",'Mapa final'!$AA$27="Moderado"),CONCATENATE("R2C",'Mapa final'!$O$27),"")</f>
        <v/>
      </c>
      <c r="AA47" s="65" t="str">
        <f>IF(AND('Mapa final'!$Y$28="Muy Baja",'Mapa final'!$AA$28="Moderado"),CONCATENATE("R2C",'Mapa final'!$O$28),"")</f>
        <v/>
      </c>
      <c r="AB47" s="48" t="str">
        <f>IF(AND('Mapa final'!$Y$19="Muy Baja",'Mapa final'!$AA$19="Mayor"),CONCATENATE("R2C",'Mapa final'!$O$19),"")</f>
        <v/>
      </c>
      <c r="AC47" s="49" t="str">
        <f>IF(AND('Mapa final'!$Y$22="Muy Baja",'Mapa final'!$AA$22="Mayor"),CONCATENATE("R2C",'Mapa final'!$O$22),"")</f>
        <v/>
      </c>
      <c r="AD47" s="49" t="str">
        <f>IF(AND('Mapa final'!$Y$25="Muy Baja",'Mapa final'!$AA$25="Mayor"),CONCATENATE("R2C",'Mapa final'!$O$25),"")</f>
        <v/>
      </c>
      <c r="AE47" s="49" t="str">
        <f>IF(AND('Mapa final'!$Y$26="Muy Baja",'Mapa final'!$AA$26="Mayor"),CONCATENATE("R2C",'Mapa final'!$O$26),"")</f>
        <v/>
      </c>
      <c r="AF47" s="49" t="str">
        <f>IF(AND('Mapa final'!$Y$27="Muy Baja",'Mapa final'!$AA$27="Mayor"),CONCATENATE("R2C",'Mapa final'!$O$27),"")</f>
        <v/>
      </c>
      <c r="AG47" s="50" t="str">
        <f>IF(AND('Mapa final'!$Y$28="Muy Baja",'Mapa final'!$AA$28="Mayor"),CONCATENATE("R2C",'Mapa final'!$O$28),"")</f>
        <v/>
      </c>
      <c r="AH47" s="51" t="str">
        <f>IF(AND('Mapa final'!$Y$19="Muy Baja",'Mapa final'!$AA$19="Catastrófico"),CONCATENATE("R2C",'Mapa final'!$O$19),"")</f>
        <v/>
      </c>
      <c r="AI47" s="52" t="str">
        <f>IF(AND('Mapa final'!$Y$22="Muy Baja",'Mapa final'!$AA$22="Catastrófico"),CONCATENATE("R2C",'Mapa final'!$O$22),"")</f>
        <v/>
      </c>
      <c r="AJ47" s="52" t="str">
        <f>IF(AND('Mapa final'!$Y$25="Muy Baja",'Mapa final'!$AA$25="Catastrófico"),CONCATENATE("R2C",'Mapa final'!$O$25),"")</f>
        <v/>
      </c>
      <c r="AK47" s="52" t="str">
        <f>IF(AND('Mapa final'!$Y$26="Muy Baja",'Mapa final'!$AA$26="Catastrófico"),CONCATENATE("R2C",'Mapa final'!$O$26),"")</f>
        <v/>
      </c>
      <c r="AL47" s="52" t="str">
        <f>IF(AND('Mapa final'!$Y$27="Muy Baja",'Mapa final'!$AA$27="Catastrófico"),CONCATENATE("R2C",'Mapa final'!$O$27),"")</f>
        <v/>
      </c>
      <c r="AM47" s="53" t="str">
        <f>IF(AND('Mapa final'!$Y$28="Muy Baja",'Mapa final'!$AA$28="Catastrófico"),CONCATENATE("R2C",'Mapa final'!$O$28),"")</f>
        <v/>
      </c>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row>
    <row r="48" spans="1:80" ht="15" customHeight="1" x14ac:dyDescent="0.25">
      <c r="A48" s="79"/>
      <c r="B48" s="407"/>
      <c r="C48" s="407"/>
      <c r="D48" s="408"/>
      <c r="E48" s="464"/>
      <c r="F48" s="449"/>
      <c r="G48" s="449"/>
      <c r="H48" s="449"/>
      <c r="I48" s="450"/>
      <c r="J48" s="72" t="str">
        <f>IF(AND('Mapa final'!$Y$29="Muy Baja",'Mapa final'!$AA$29="Leve"),CONCATENATE("R3C",'Mapa final'!$O$29),"")</f>
        <v/>
      </c>
      <c r="K48" s="73" t="e">
        <f>IF(AND('Mapa final'!#REF!="Muy Baja",'Mapa final'!#REF!="Leve"),CONCATENATE("R3C",'Mapa final'!#REF!),"")</f>
        <v>#REF!</v>
      </c>
      <c r="L48" s="73" t="e">
        <f>IF(AND('Mapa final'!#REF!="Muy Baja",'Mapa final'!#REF!="Leve"),CONCATENATE("R3C",'Mapa final'!#REF!),"")</f>
        <v>#REF!</v>
      </c>
      <c r="M48" s="73" t="e">
        <f>IF(AND('Mapa final'!#REF!="Muy Baja",'Mapa final'!#REF!="Leve"),CONCATENATE("R3C",'Mapa final'!#REF!),"")</f>
        <v>#REF!</v>
      </c>
      <c r="N48" s="73" t="e">
        <f>IF(AND('Mapa final'!#REF!="Muy Baja",'Mapa final'!#REF!="Leve"),CONCATENATE("R3C",'Mapa final'!#REF!),"")</f>
        <v>#REF!</v>
      </c>
      <c r="O48" s="74" t="e">
        <f>IF(AND('Mapa final'!#REF!="Muy Baja",'Mapa final'!#REF!="Leve"),CONCATENATE("R3C",'Mapa final'!#REF!),"")</f>
        <v>#REF!</v>
      </c>
      <c r="P48" s="72" t="str">
        <f>IF(AND('Mapa final'!$Y$29="Muy Baja",'Mapa final'!$AA$29="Menor"),CONCATENATE("R3C",'Mapa final'!$O$29),"")</f>
        <v/>
      </c>
      <c r="Q48" s="73" t="e">
        <f>IF(AND('Mapa final'!#REF!="Muy Baja",'Mapa final'!#REF!="Menor"),CONCATENATE("R3C",'Mapa final'!#REF!),"")</f>
        <v>#REF!</v>
      </c>
      <c r="R48" s="73" t="e">
        <f>IF(AND('Mapa final'!#REF!="Muy Baja",'Mapa final'!#REF!="Menor"),CONCATENATE("R3C",'Mapa final'!#REF!),"")</f>
        <v>#REF!</v>
      </c>
      <c r="S48" s="73" t="e">
        <f>IF(AND('Mapa final'!#REF!="Muy Baja",'Mapa final'!#REF!="Menor"),CONCATENATE("R3C",'Mapa final'!#REF!),"")</f>
        <v>#REF!</v>
      </c>
      <c r="T48" s="73" t="e">
        <f>IF(AND('Mapa final'!#REF!="Muy Baja",'Mapa final'!#REF!="Menor"),CONCATENATE("R3C",'Mapa final'!#REF!),"")</f>
        <v>#REF!</v>
      </c>
      <c r="U48" s="74" t="e">
        <f>IF(AND('Mapa final'!#REF!="Muy Baja",'Mapa final'!#REF!="Menor"),CONCATENATE("R3C",'Mapa final'!#REF!),"")</f>
        <v>#REF!</v>
      </c>
      <c r="V48" s="63" t="str">
        <f>IF(AND('Mapa final'!$Y$29="Muy Baja",'Mapa final'!$AA$29="Moderado"),CONCATENATE("R3C",'Mapa final'!$O$29),"")</f>
        <v/>
      </c>
      <c r="W48" s="64" t="e">
        <f>IF(AND('Mapa final'!#REF!="Muy Baja",'Mapa final'!#REF!="Moderado"),CONCATENATE("R3C",'Mapa final'!#REF!),"")</f>
        <v>#REF!</v>
      </c>
      <c r="X48" s="64" t="e">
        <f>IF(AND('Mapa final'!#REF!="Muy Baja",'Mapa final'!#REF!="Moderado"),CONCATENATE("R3C",'Mapa final'!#REF!),"")</f>
        <v>#REF!</v>
      </c>
      <c r="Y48" s="64" t="e">
        <f>IF(AND('Mapa final'!#REF!="Muy Baja",'Mapa final'!#REF!="Moderado"),CONCATENATE("R3C",'Mapa final'!#REF!),"")</f>
        <v>#REF!</v>
      </c>
      <c r="Z48" s="64" t="e">
        <f>IF(AND('Mapa final'!#REF!="Muy Baja",'Mapa final'!#REF!="Moderado"),CONCATENATE("R3C",'Mapa final'!#REF!),"")</f>
        <v>#REF!</v>
      </c>
      <c r="AA48" s="65" t="e">
        <f>IF(AND('Mapa final'!#REF!="Muy Baja",'Mapa final'!#REF!="Moderado"),CONCATENATE("R3C",'Mapa final'!#REF!),"")</f>
        <v>#REF!</v>
      </c>
      <c r="AB48" s="48" t="str">
        <f>IF(AND('Mapa final'!$Y$29="Muy Baja",'Mapa final'!$AA$29="Mayor"),CONCATENATE("R3C",'Mapa final'!$O$29),"")</f>
        <v/>
      </c>
      <c r="AC48" s="49" t="e">
        <f>IF(AND('Mapa final'!#REF!="Muy Baja",'Mapa final'!#REF!="Mayor"),CONCATENATE("R3C",'Mapa final'!#REF!),"")</f>
        <v>#REF!</v>
      </c>
      <c r="AD48" s="49" t="e">
        <f>IF(AND('Mapa final'!#REF!="Muy Baja",'Mapa final'!#REF!="Mayor"),CONCATENATE("R3C",'Mapa final'!#REF!),"")</f>
        <v>#REF!</v>
      </c>
      <c r="AE48" s="49" t="e">
        <f>IF(AND('Mapa final'!#REF!="Muy Baja",'Mapa final'!#REF!="Mayor"),CONCATENATE("R3C",'Mapa final'!#REF!),"")</f>
        <v>#REF!</v>
      </c>
      <c r="AF48" s="49" t="e">
        <f>IF(AND('Mapa final'!#REF!="Muy Baja",'Mapa final'!#REF!="Mayor"),CONCATENATE("R3C",'Mapa final'!#REF!),"")</f>
        <v>#REF!</v>
      </c>
      <c r="AG48" s="50" t="e">
        <f>IF(AND('Mapa final'!#REF!="Muy Baja",'Mapa final'!#REF!="Mayor"),CONCATENATE("R3C",'Mapa final'!#REF!),"")</f>
        <v>#REF!</v>
      </c>
      <c r="AH48" s="51" t="str">
        <f>IF(AND('Mapa final'!$Y$29="Muy Baja",'Mapa final'!$AA$29="Catastrófico"),CONCATENATE("R3C",'Mapa final'!$O$29),"")</f>
        <v/>
      </c>
      <c r="AI48" s="52" t="e">
        <f>IF(AND('Mapa final'!#REF!="Muy Baja",'Mapa final'!#REF!="Catastrófico"),CONCATENATE("R3C",'Mapa final'!#REF!),"")</f>
        <v>#REF!</v>
      </c>
      <c r="AJ48" s="52" t="e">
        <f>IF(AND('Mapa final'!#REF!="Muy Baja",'Mapa final'!#REF!="Catastrófico"),CONCATENATE("R3C",'Mapa final'!#REF!),"")</f>
        <v>#REF!</v>
      </c>
      <c r="AK48" s="52" t="e">
        <f>IF(AND('Mapa final'!#REF!="Muy Baja",'Mapa final'!#REF!="Catastrófico"),CONCATENATE("R3C",'Mapa final'!#REF!),"")</f>
        <v>#REF!</v>
      </c>
      <c r="AL48" s="52" t="e">
        <f>IF(AND('Mapa final'!#REF!="Muy Baja",'Mapa final'!#REF!="Catastrófico"),CONCATENATE("R3C",'Mapa final'!#REF!),"")</f>
        <v>#REF!</v>
      </c>
      <c r="AM48" s="53" t="e">
        <f>IF(AND('Mapa final'!#REF!="Muy Baja",'Mapa final'!#REF!="Catastrófico"),CONCATENATE("R3C",'Mapa final'!#REF!),"")</f>
        <v>#REF!</v>
      </c>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row>
    <row r="49" spans="1:80" ht="15" customHeight="1" x14ac:dyDescent="0.25">
      <c r="A49" s="79"/>
      <c r="B49" s="407"/>
      <c r="C49" s="407"/>
      <c r="D49" s="408"/>
      <c r="E49" s="448"/>
      <c r="F49" s="449"/>
      <c r="G49" s="449"/>
      <c r="H49" s="449"/>
      <c r="I49" s="450"/>
      <c r="J49" s="72" t="str">
        <f>IF(AND('Mapa final'!$Y$43="Muy Baja",'Mapa final'!$AA$43="Leve"),CONCATENATE("R4C",'Mapa final'!$O$43),"")</f>
        <v/>
      </c>
      <c r="K49" s="73" t="str">
        <f>IF(AND('Mapa final'!$Y$44="Muy Baja",'Mapa final'!$AA$44="Leve"),CONCATENATE("R4C",'Mapa final'!$O$44),"")</f>
        <v/>
      </c>
      <c r="L49" s="73" t="str">
        <f>IF(AND('Mapa final'!$Y$45="Muy Baja",'Mapa final'!$AA$45="Leve"),CONCATENATE("R4C",'Mapa final'!$O$45),"")</f>
        <v/>
      </c>
      <c r="M49" s="73" t="str">
        <f>IF(AND('Mapa final'!$Y$46="Muy Baja",'Mapa final'!$AA$46="Leve"),CONCATENATE("R4C",'Mapa final'!$O$46),"")</f>
        <v/>
      </c>
      <c r="N49" s="73" t="str">
        <f>IF(AND('Mapa final'!$Y$47="Muy Baja",'Mapa final'!$AA$47="Leve"),CONCATENATE("R4C",'Mapa final'!$O$47),"")</f>
        <v/>
      </c>
      <c r="O49" s="74" t="str">
        <f>IF(AND('Mapa final'!$Y$48="Muy Baja",'Mapa final'!$AA$48="Leve"),CONCATENATE("R4C",'Mapa final'!$O$48),"")</f>
        <v/>
      </c>
      <c r="P49" s="72" t="str">
        <f>IF(AND('Mapa final'!$Y$43="Muy Baja",'Mapa final'!$AA$43="Menor"),CONCATENATE("R4C",'Mapa final'!$O$43),"")</f>
        <v/>
      </c>
      <c r="Q49" s="73" t="str">
        <f>IF(AND('Mapa final'!$Y$44="Muy Baja",'Mapa final'!$AA$44="Menor"),CONCATENATE("R4C",'Mapa final'!$O$44),"")</f>
        <v/>
      </c>
      <c r="R49" s="73" t="str">
        <f>IF(AND('Mapa final'!$Y$45="Muy Baja",'Mapa final'!$AA$45="Menor"),CONCATENATE("R4C",'Mapa final'!$O$45),"")</f>
        <v/>
      </c>
      <c r="S49" s="73" t="str">
        <f>IF(AND('Mapa final'!$Y$46="Muy Baja",'Mapa final'!$AA$46="Menor"),CONCATENATE("R4C",'Mapa final'!$O$46),"")</f>
        <v/>
      </c>
      <c r="T49" s="73" t="str">
        <f>IF(AND('Mapa final'!$Y$47="Muy Baja",'Mapa final'!$AA$47="Menor"),CONCATENATE("R4C",'Mapa final'!$O$47),"")</f>
        <v/>
      </c>
      <c r="U49" s="74" t="str">
        <f>IF(AND('Mapa final'!$Y$48="Muy Baja",'Mapa final'!$AA$48="Menor"),CONCATENATE("R4C",'Mapa final'!$O$48),"")</f>
        <v/>
      </c>
      <c r="V49" s="63" t="str">
        <f>IF(AND('Mapa final'!$Y$43="Muy Baja",'Mapa final'!$AA$43="Moderado"),CONCATENATE("R4C",'Mapa final'!$O$43),"")</f>
        <v/>
      </c>
      <c r="W49" s="64" t="str">
        <f>IF(AND('Mapa final'!$Y$44="Muy Baja",'Mapa final'!$AA$44="Moderado"),CONCATENATE("R4C",'Mapa final'!$O$44),"")</f>
        <v/>
      </c>
      <c r="X49" s="64" t="str">
        <f>IF(AND('Mapa final'!$Y$45="Muy Baja",'Mapa final'!$AA$45="Moderado"),CONCATENATE("R4C",'Mapa final'!$O$45),"")</f>
        <v/>
      </c>
      <c r="Y49" s="64" t="str">
        <f>IF(AND('Mapa final'!$Y$46="Muy Baja",'Mapa final'!$AA$46="Moderado"),CONCATENATE("R4C",'Mapa final'!$O$46),"")</f>
        <v/>
      </c>
      <c r="Z49" s="64" t="str">
        <f>IF(AND('Mapa final'!$Y$47="Muy Baja",'Mapa final'!$AA$47="Moderado"),CONCATENATE("R4C",'Mapa final'!$O$47),"")</f>
        <v/>
      </c>
      <c r="AA49" s="65" t="str">
        <f>IF(AND('Mapa final'!$Y$48="Muy Baja",'Mapa final'!$AA$48="Moderado"),CONCATENATE("R4C",'Mapa final'!$O$48),"")</f>
        <v/>
      </c>
      <c r="AB49" s="48" t="str">
        <f>IF(AND('Mapa final'!$Y$43="Muy Baja",'Mapa final'!$AA$43="Mayor"),CONCATENATE("R4C",'Mapa final'!$O$43),"")</f>
        <v/>
      </c>
      <c r="AC49" s="49" t="str">
        <f>IF(AND('Mapa final'!$Y$44="Muy Baja",'Mapa final'!$AA$44="Mayor"),CONCATENATE("R4C",'Mapa final'!$O$44),"")</f>
        <v/>
      </c>
      <c r="AD49" s="49" t="str">
        <f>IF(AND('Mapa final'!$Y$45="Muy Baja",'Mapa final'!$AA$45="Mayor"),CONCATENATE("R4C",'Mapa final'!$O$45),"")</f>
        <v/>
      </c>
      <c r="AE49" s="49" t="str">
        <f>IF(AND('Mapa final'!$Y$46="Muy Baja",'Mapa final'!$AA$46="Mayor"),CONCATENATE("R4C",'Mapa final'!$O$46),"")</f>
        <v/>
      </c>
      <c r="AF49" s="49" t="str">
        <f>IF(AND('Mapa final'!$Y$47="Muy Baja",'Mapa final'!$AA$47="Mayor"),CONCATENATE("R4C",'Mapa final'!$O$47),"")</f>
        <v/>
      </c>
      <c r="AG49" s="50" t="str">
        <f>IF(AND('Mapa final'!$Y$48="Muy Baja",'Mapa final'!$AA$48="Mayor"),CONCATENATE("R4C",'Mapa final'!$O$48),"")</f>
        <v/>
      </c>
      <c r="AH49" s="51" t="str">
        <f>IF(AND('Mapa final'!$Y$43="Muy Baja",'Mapa final'!$AA$43="Catastrófico"),CONCATENATE("R4C",'Mapa final'!$O$43),"")</f>
        <v/>
      </c>
      <c r="AI49" s="52" t="str">
        <f>IF(AND('Mapa final'!$Y$44="Muy Baja",'Mapa final'!$AA$44="Catastrófico"),CONCATENATE("R4C",'Mapa final'!$O$44),"")</f>
        <v/>
      </c>
      <c r="AJ49" s="52" t="str">
        <f>IF(AND('Mapa final'!$Y$45="Muy Baja",'Mapa final'!$AA$45="Catastrófico"),CONCATENATE("R4C",'Mapa final'!$O$45),"")</f>
        <v/>
      </c>
      <c r="AK49" s="52" t="str">
        <f>IF(AND('Mapa final'!$Y$46="Muy Baja",'Mapa final'!$AA$46="Catastrófico"),CONCATENATE("R4C",'Mapa final'!$O$46),"")</f>
        <v/>
      </c>
      <c r="AL49" s="52" t="str">
        <f>IF(AND('Mapa final'!$Y$47="Muy Baja",'Mapa final'!$AA$47="Catastrófico"),CONCATENATE("R4C",'Mapa final'!$O$47),"")</f>
        <v/>
      </c>
      <c r="AM49" s="53" t="str">
        <f>IF(AND('Mapa final'!$Y$48="Muy Baja",'Mapa final'!$AA$48="Catastrófico"),CONCATENATE("R4C",'Mapa final'!$O$48),"")</f>
        <v/>
      </c>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row>
    <row r="50" spans="1:80" ht="15" customHeight="1" x14ac:dyDescent="0.25">
      <c r="A50" s="79"/>
      <c r="B50" s="407"/>
      <c r="C50" s="407"/>
      <c r="D50" s="408"/>
      <c r="E50" s="448"/>
      <c r="F50" s="449"/>
      <c r="G50" s="449"/>
      <c r="H50" s="449"/>
      <c r="I50" s="450"/>
      <c r="J50" s="72" t="str">
        <f>IF(AND('Mapa final'!$Y$49="Muy Baja",'Mapa final'!$AA$49="Leve"),CONCATENATE("R5C",'Mapa final'!$O$49),"")</f>
        <v/>
      </c>
      <c r="K50" s="73" t="str">
        <f>IF(AND('Mapa final'!$Y$50="Muy Baja",'Mapa final'!$AA$50="Leve"),CONCATENATE("R5C",'Mapa final'!$O$50),"")</f>
        <v/>
      </c>
      <c r="L50" s="73" t="str">
        <f>IF(AND('Mapa final'!$Y$51="Muy Baja",'Mapa final'!$AA$51="Leve"),CONCATENATE("R5C",'Mapa final'!$O$51),"")</f>
        <v/>
      </c>
      <c r="M50" s="73" t="str">
        <f>IF(AND('Mapa final'!$Y$52="Muy Baja",'Mapa final'!$AA$52="Leve"),CONCATENATE("R5C",'Mapa final'!$O$52),"")</f>
        <v/>
      </c>
      <c r="N50" s="73" t="str">
        <f>IF(AND('Mapa final'!$Y$53="Muy Baja",'Mapa final'!$AA$53="Leve"),CONCATENATE("R5C",'Mapa final'!$O$53),"")</f>
        <v/>
      </c>
      <c r="O50" s="74" t="e">
        <f>IF(AND('Mapa final'!#REF!="Muy Baja",'Mapa final'!#REF!="Leve"),CONCATENATE("R5C",'Mapa final'!#REF!),"")</f>
        <v>#REF!</v>
      </c>
      <c r="P50" s="72" t="str">
        <f>IF(AND('Mapa final'!$Y$49="Muy Baja",'Mapa final'!$AA$49="Menor"),CONCATENATE("R5C",'Mapa final'!$O$49),"")</f>
        <v/>
      </c>
      <c r="Q50" s="73" t="str">
        <f>IF(AND('Mapa final'!$Y$50="Muy Baja",'Mapa final'!$AA$50="Menor"),CONCATENATE("R5C",'Mapa final'!$O$50),"")</f>
        <v/>
      </c>
      <c r="R50" s="73" t="str">
        <f>IF(AND('Mapa final'!$Y$51="Muy Baja",'Mapa final'!$AA$51="Menor"),CONCATENATE("R5C",'Mapa final'!$O$51),"")</f>
        <v/>
      </c>
      <c r="S50" s="73" t="str">
        <f>IF(AND('Mapa final'!$Y$52="Muy Baja",'Mapa final'!$AA$52="Menor"),CONCATENATE("R5C",'Mapa final'!$O$52),"")</f>
        <v/>
      </c>
      <c r="T50" s="73" t="str">
        <f>IF(AND('Mapa final'!$Y$53="Muy Baja",'Mapa final'!$AA$53="Menor"),CONCATENATE("R5C",'Mapa final'!$O$53),"")</f>
        <v/>
      </c>
      <c r="U50" s="74" t="e">
        <f>IF(AND('Mapa final'!#REF!="Muy Baja",'Mapa final'!#REF!="Menor"),CONCATENATE("R5C",'Mapa final'!#REF!),"")</f>
        <v>#REF!</v>
      </c>
      <c r="V50" s="63" t="str">
        <f>IF(AND('Mapa final'!$Y$49="Muy Baja",'Mapa final'!$AA$49="Moderado"),CONCATENATE("R5C",'Mapa final'!$O$49),"")</f>
        <v/>
      </c>
      <c r="W50" s="64" t="str">
        <f>IF(AND('Mapa final'!$Y$50="Muy Baja",'Mapa final'!$AA$50="Moderado"),CONCATENATE("R5C",'Mapa final'!$O$50),"")</f>
        <v/>
      </c>
      <c r="X50" s="64" t="str">
        <f>IF(AND('Mapa final'!$Y$51="Muy Baja",'Mapa final'!$AA$51="Moderado"),CONCATENATE("R5C",'Mapa final'!$O$51),"")</f>
        <v/>
      </c>
      <c r="Y50" s="64" t="str">
        <f>IF(AND('Mapa final'!$Y$52="Muy Baja",'Mapa final'!$AA$52="Moderado"),CONCATENATE("R5C",'Mapa final'!$O$52),"")</f>
        <v/>
      </c>
      <c r="Z50" s="64" t="str">
        <f>IF(AND('Mapa final'!$Y$53="Muy Baja",'Mapa final'!$AA$53="Moderado"),CONCATENATE("R5C",'Mapa final'!$O$53),"")</f>
        <v/>
      </c>
      <c r="AA50" s="65" t="e">
        <f>IF(AND('Mapa final'!#REF!="Muy Baja",'Mapa final'!#REF!="Moderado"),CONCATENATE("R5C",'Mapa final'!#REF!),"")</f>
        <v>#REF!</v>
      </c>
      <c r="AB50" s="48" t="str">
        <f>IF(AND('Mapa final'!$Y$49="Muy Baja",'Mapa final'!$AA$49="Mayor"),CONCATENATE("R5C",'Mapa final'!$O$49),"")</f>
        <v/>
      </c>
      <c r="AC50" s="49" t="str">
        <f>IF(AND('Mapa final'!$Y$50="Muy Baja",'Mapa final'!$AA$50="Mayor"),CONCATENATE("R5C",'Mapa final'!$O$50),"")</f>
        <v/>
      </c>
      <c r="AD50" s="49" t="str">
        <f>IF(AND('Mapa final'!$Y$51="Muy Baja",'Mapa final'!$AA$51="Mayor"),CONCATENATE("R5C",'Mapa final'!$O$51),"")</f>
        <v/>
      </c>
      <c r="AE50" s="49" t="str">
        <f>IF(AND('Mapa final'!$Y$52="Muy Baja",'Mapa final'!$AA$52="Mayor"),CONCATENATE("R5C",'Mapa final'!$O$52),"")</f>
        <v/>
      </c>
      <c r="AF50" s="49" t="str">
        <f>IF(AND('Mapa final'!$Y$53="Muy Baja",'Mapa final'!$AA$53="Mayor"),CONCATENATE("R5C",'Mapa final'!$O$53),"")</f>
        <v/>
      </c>
      <c r="AG50" s="50" t="e">
        <f>IF(AND('Mapa final'!#REF!="Muy Baja",'Mapa final'!#REF!="Mayor"),CONCATENATE("R5C",'Mapa final'!#REF!),"")</f>
        <v>#REF!</v>
      </c>
      <c r="AH50" s="51" t="str">
        <f>IF(AND('Mapa final'!$Y$49="Muy Baja",'Mapa final'!$AA$49="Catastrófico"),CONCATENATE("R5C",'Mapa final'!$O$49),"")</f>
        <v/>
      </c>
      <c r="AI50" s="52" t="str">
        <f>IF(AND('Mapa final'!$Y$50="Muy Baja",'Mapa final'!$AA$50="Catastrófico"),CONCATENATE("R5C",'Mapa final'!$O$50),"")</f>
        <v/>
      </c>
      <c r="AJ50" s="52" t="str">
        <f>IF(AND('Mapa final'!$Y$51="Muy Baja",'Mapa final'!$AA$51="Catastrófico"),CONCATENATE("R5C",'Mapa final'!$O$51),"")</f>
        <v/>
      </c>
      <c r="AK50" s="52" t="str">
        <f>IF(AND('Mapa final'!$Y$52="Muy Baja",'Mapa final'!$AA$52="Catastrófico"),CONCATENATE("R5C",'Mapa final'!$O$52),"")</f>
        <v/>
      </c>
      <c r="AL50" s="52" t="str">
        <f>IF(AND('Mapa final'!$Y$53="Muy Baja",'Mapa final'!$AA$53="Catastrófico"),CONCATENATE("R5C",'Mapa final'!$O$53),"")</f>
        <v/>
      </c>
      <c r="AM50" s="53" t="e">
        <f>IF(AND('Mapa final'!#REF!="Muy Baja",'Mapa final'!#REF!="Catastrófico"),CONCATENATE("R5C",'Mapa final'!#REF!),"")</f>
        <v>#REF!</v>
      </c>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row>
    <row r="51" spans="1:80" ht="15" customHeight="1" x14ac:dyDescent="0.25">
      <c r="A51" s="79"/>
      <c r="B51" s="407"/>
      <c r="C51" s="407"/>
      <c r="D51" s="408"/>
      <c r="E51" s="448"/>
      <c r="F51" s="449"/>
      <c r="G51" s="449"/>
      <c r="H51" s="449"/>
      <c r="I51" s="450"/>
      <c r="J51" s="72" t="str">
        <f>IF(AND('Mapa final'!$Y$54="Muy Baja",'Mapa final'!$AA$54="Leve"),CONCATENATE("R6C",'Mapa final'!$O$54),"")</f>
        <v/>
      </c>
      <c r="K51" s="73" t="str">
        <f>IF(AND('Mapa final'!$Y$55="Muy Baja",'Mapa final'!$AA$55="Leve"),CONCATENATE("R6C",'Mapa final'!$O$55),"")</f>
        <v/>
      </c>
      <c r="L51" s="73" t="str">
        <f>IF(AND('Mapa final'!$Y$56="Muy Baja",'Mapa final'!$AA$56="Leve"),CONCATENATE("R6C",'Mapa final'!$O$56),"")</f>
        <v/>
      </c>
      <c r="M51" s="73" t="str">
        <f>IF(AND('Mapa final'!$Y$57="Muy Baja",'Mapa final'!$AA$57="Leve"),CONCATENATE("R6C",'Mapa final'!$O$57),"")</f>
        <v/>
      </c>
      <c r="N51" s="73" t="e">
        <f>IF(AND('Mapa final'!#REF!="Muy Baja",'Mapa final'!#REF!="Leve"),CONCATENATE("R6C",'Mapa final'!#REF!),"")</f>
        <v>#REF!</v>
      </c>
      <c r="O51" s="74" t="e">
        <f>IF(AND('Mapa final'!#REF!="Muy Baja",'Mapa final'!#REF!="Leve"),CONCATENATE("R6C",'Mapa final'!#REF!),"")</f>
        <v>#REF!</v>
      </c>
      <c r="P51" s="72" t="str">
        <f>IF(AND('Mapa final'!$Y$54="Muy Baja",'Mapa final'!$AA$54="Menor"),CONCATENATE("R6C",'Mapa final'!$O$54),"")</f>
        <v/>
      </c>
      <c r="Q51" s="73" t="str">
        <f>IF(AND('Mapa final'!$Y$55="Muy Baja",'Mapa final'!$AA$55="Menor"),CONCATENATE("R6C",'Mapa final'!$O$55),"")</f>
        <v/>
      </c>
      <c r="R51" s="73" t="str">
        <f>IF(AND('Mapa final'!$Y$56="Muy Baja",'Mapa final'!$AA$56="Menor"),CONCATENATE("R6C",'Mapa final'!$O$56),"")</f>
        <v/>
      </c>
      <c r="S51" s="73" t="str">
        <f>IF(AND('Mapa final'!$Y$57="Muy Baja",'Mapa final'!$AA$57="Menor"),CONCATENATE("R6C",'Mapa final'!$O$57),"")</f>
        <v/>
      </c>
      <c r="T51" s="73" t="e">
        <f>IF(AND('Mapa final'!#REF!="Muy Baja",'Mapa final'!#REF!="Menor"),CONCATENATE("R6C",'Mapa final'!#REF!),"")</f>
        <v>#REF!</v>
      </c>
      <c r="U51" s="74" t="e">
        <f>IF(AND('Mapa final'!#REF!="Muy Baja",'Mapa final'!#REF!="Menor"),CONCATENATE("R6C",'Mapa final'!#REF!),"")</f>
        <v>#REF!</v>
      </c>
      <c r="V51" s="63" t="str">
        <f>IF(AND('Mapa final'!$Y$54="Muy Baja",'Mapa final'!$AA$54="Moderado"),CONCATENATE("R6C",'Mapa final'!$O$54),"")</f>
        <v/>
      </c>
      <c r="W51" s="64" t="str">
        <f>IF(AND('Mapa final'!$Y$55="Muy Baja",'Mapa final'!$AA$55="Moderado"),CONCATENATE("R6C",'Mapa final'!$O$55),"")</f>
        <v/>
      </c>
      <c r="X51" s="64" t="str">
        <f>IF(AND('Mapa final'!$Y$56="Muy Baja",'Mapa final'!$AA$56="Moderado"),CONCATENATE("R6C",'Mapa final'!$O$56),"")</f>
        <v/>
      </c>
      <c r="Y51" s="64" t="str">
        <f>IF(AND('Mapa final'!$Y$57="Muy Baja",'Mapa final'!$AA$57="Moderado"),CONCATENATE("R6C",'Mapa final'!$O$57),"")</f>
        <v/>
      </c>
      <c r="Z51" s="64" t="e">
        <f>IF(AND('Mapa final'!#REF!="Muy Baja",'Mapa final'!#REF!="Moderado"),CONCATENATE("R6C",'Mapa final'!#REF!),"")</f>
        <v>#REF!</v>
      </c>
      <c r="AA51" s="65" t="e">
        <f>IF(AND('Mapa final'!#REF!="Muy Baja",'Mapa final'!#REF!="Moderado"),CONCATENATE("R6C",'Mapa final'!#REF!),"")</f>
        <v>#REF!</v>
      </c>
      <c r="AB51" s="48" t="str">
        <f>IF(AND('Mapa final'!$Y$54="Muy Baja",'Mapa final'!$AA$54="Mayor"),CONCATENATE("R6C",'Mapa final'!$O$54),"")</f>
        <v/>
      </c>
      <c r="AC51" s="49" t="str">
        <f>IF(AND('Mapa final'!$Y$55="Muy Baja",'Mapa final'!$AA$55="Mayor"),CONCATENATE("R6C",'Mapa final'!$O$55),"")</f>
        <v/>
      </c>
      <c r="AD51" s="49" t="str">
        <f>IF(AND('Mapa final'!$Y$56="Muy Baja",'Mapa final'!$AA$56="Mayor"),CONCATENATE("R6C",'Mapa final'!$O$56),"")</f>
        <v/>
      </c>
      <c r="AE51" s="49" t="str">
        <f>IF(AND('Mapa final'!$Y$57="Muy Baja",'Mapa final'!$AA$57="Mayor"),CONCATENATE("R6C",'Mapa final'!$O$57),"")</f>
        <v/>
      </c>
      <c r="AF51" s="49" t="e">
        <f>IF(AND('Mapa final'!#REF!="Muy Baja",'Mapa final'!#REF!="Mayor"),CONCATENATE("R6C",'Mapa final'!#REF!),"")</f>
        <v>#REF!</v>
      </c>
      <c r="AG51" s="50" t="e">
        <f>IF(AND('Mapa final'!#REF!="Muy Baja",'Mapa final'!#REF!="Mayor"),CONCATENATE("R6C",'Mapa final'!#REF!),"")</f>
        <v>#REF!</v>
      </c>
      <c r="AH51" s="51" t="str">
        <f>IF(AND('Mapa final'!$Y$54="Muy Baja",'Mapa final'!$AA$54="Catastrófico"),CONCATENATE("R6C",'Mapa final'!$O$54),"")</f>
        <v/>
      </c>
      <c r="AI51" s="52" t="str">
        <f>IF(AND('Mapa final'!$Y$55="Muy Baja",'Mapa final'!$AA$55="Catastrófico"),CONCATENATE("R6C",'Mapa final'!$O$55),"")</f>
        <v/>
      </c>
      <c r="AJ51" s="52" t="str">
        <f>IF(AND('Mapa final'!$Y$56="Muy Baja",'Mapa final'!$AA$56="Catastrófico"),CONCATENATE("R6C",'Mapa final'!$O$56),"")</f>
        <v/>
      </c>
      <c r="AK51" s="52" t="str">
        <f>IF(AND('Mapa final'!$Y$57="Muy Baja",'Mapa final'!$AA$57="Catastrófico"),CONCATENATE("R6C",'Mapa final'!$O$57),"")</f>
        <v/>
      </c>
      <c r="AL51" s="52" t="e">
        <f>IF(AND('Mapa final'!#REF!="Muy Baja",'Mapa final'!#REF!="Catastrófico"),CONCATENATE("R6C",'Mapa final'!#REF!),"")</f>
        <v>#REF!</v>
      </c>
      <c r="AM51" s="53" t="e">
        <f>IF(AND('Mapa final'!#REF!="Muy Baja",'Mapa final'!#REF!="Catastrófico"),CONCATENATE("R6C",'Mapa final'!#REF!),"")</f>
        <v>#REF!</v>
      </c>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row>
    <row r="52" spans="1:80" ht="15" customHeight="1" x14ac:dyDescent="0.25">
      <c r="A52" s="79"/>
      <c r="B52" s="407"/>
      <c r="C52" s="407"/>
      <c r="D52" s="408"/>
      <c r="E52" s="448"/>
      <c r="F52" s="449"/>
      <c r="G52" s="449"/>
      <c r="H52" s="449"/>
      <c r="I52" s="450"/>
      <c r="J52" s="72" t="e">
        <f>IF(AND('Mapa final'!#REF!="Muy Baja",'Mapa final'!#REF!="Leve"),CONCATENATE("R7C",'Mapa final'!#REF!),"")</f>
        <v>#REF!</v>
      </c>
      <c r="K52" s="73" t="e">
        <f>IF(AND('Mapa final'!#REF!="Muy Baja",'Mapa final'!#REF!="Leve"),CONCATENATE("R7C",'Mapa final'!#REF!),"")</f>
        <v>#REF!</v>
      </c>
      <c r="L52" s="73" t="e">
        <f>IF(AND('Mapa final'!#REF!="Muy Baja",'Mapa final'!#REF!="Leve"),CONCATENATE("R7C",'Mapa final'!#REF!),"")</f>
        <v>#REF!</v>
      </c>
      <c r="M52" s="73" t="e">
        <f>IF(AND('Mapa final'!#REF!="Muy Baja",'Mapa final'!#REF!="Leve"),CONCATENATE("R7C",'Mapa final'!#REF!),"")</f>
        <v>#REF!</v>
      </c>
      <c r="N52" s="73" t="e">
        <f>IF(AND('Mapa final'!#REF!="Muy Baja",'Mapa final'!#REF!="Leve"),CONCATENATE("R7C",'Mapa final'!#REF!),"")</f>
        <v>#REF!</v>
      </c>
      <c r="O52" s="74" t="e">
        <f>IF(AND('Mapa final'!#REF!="Muy Baja",'Mapa final'!#REF!="Leve"),CONCATENATE("R7C",'Mapa final'!#REF!),"")</f>
        <v>#REF!</v>
      </c>
      <c r="P52" s="72" t="e">
        <f>IF(AND('Mapa final'!#REF!="Muy Baja",'Mapa final'!#REF!="Menor"),CONCATENATE("R7C",'Mapa final'!#REF!),"")</f>
        <v>#REF!</v>
      </c>
      <c r="Q52" s="73" t="e">
        <f>IF(AND('Mapa final'!#REF!="Muy Baja",'Mapa final'!#REF!="Menor"),CONCATENATE("R7C",'Mapa final'!#REF!),"")</f>
        <v>#REF!</v>
      </c>
      <c r="R52" s="73" t="e">
        <f>IF(AND('Mapa final'!#REF!="Muy Baja",'Mapa final'!#REF!="Menor"),CONCATENATE("R7C",'Mapa final'!#REF!),"")</f>
        <v>#REF!</v>
      </c>
      <c r="S52" s="73" t="e">
        <f>IF(AND('Mapa final'!#REF!="Muy Baja",'Mapa final'!#REF!="Menor"),CONCATENATE("R7C",'Mapa final'!#REF!),"")</f>
        <v>#REF!</v>
      </c>
      <c r="T52" s="73" t="e">
        <f>IF(AND('Mapa final'!#REF!="Muy Baja",'Mapa final'!#REF!="Menor"),CONCATENATE("R7C",'Mapa final'!#REF!),"")</f>
        <v>#REF!</v>
      </c>
      <c r="U52" s="74" t="e">
        <f>IF(AND('Mapa final'!#REF!="Muy Baja",'Mapa final'!#REF!="Menor"),CONCATENATE("R7C",'Mapa final'!#REF!),"")</f>
        <v>#REF!</v>
      </c>
      <c r="V52" s="63" t="e">
        <f>IF(AND('Mapa final'!#REF!="Muy Baja",'Mapa final'!#REF!="Moderado"),CONCATENATE("R7C",'Mapa final'!#REF!),"")</f>
        <v>#REF!</v>
      </c>
      <c r="W52" s="64" t="e">
        <f>IF(AND('Mapa final'!#REF!="Muy Baja",'Mapa final'!#REF!="Moderado"),CONCATENATE("R7C",'Mapa final'!#REF!),"")</f>
        <v>#REF!</v>
      </c>
      <c r="X52" s="64" t="e">
        <f>IF(AND('Mapa final'!#REF!="Muy Baja",'Mapa final'!#REF!="Moderado"),CONCATENATE("R7C",'Mapa final'!#REF!),"")</f>
        <v>#REF!</v>
      </c>
      <c r="Y52" s="64" t="e">
        <f>IF(AND('Mapa final'!#REF!="Muy Baja",'Mapa final'!#REF!="Moderado"),CONCATENATE("R7C",'Mapa final'!#REF!),"")</f>
        <v>#REF!</v>
      </c>
      <c r="Z52" s="64" t="e">
        <f>IF(AND('Mapa final'!#REF!="Muy Baja",'Mapa final'!#REF!="Moderado"),CONCATENATE("R7C",'Mapa final'!#REF!),"")</f>
        <v>#REF!</v>
      </c>
      <c r="AA52" s="65" t="e">
        <f>IF(AND('Mapa final'!#REF!="Muy Baja",'Mapa final'!#REF!="Moderado"),CONCATENATE("R7C",'Mapa final'!#REF!),"")</f>
        <v>#REF!</v>
      </c>
      <c r="AB52" s="48" t="e">
        <f>IF(AND('Mapa final'!#REF!="Muy Baja",'Mapa final'!#REF!="Mayor"),CONCATENATE("R7C",'Mapa final'!#REF!),"")</f>
        <v>#REF!</v>
      </c>
      <c r="AC52" s="49" t="e">
        <f>IF(AND('Mapa final'!#REF!="Muy Baja",'Mapa final'!#REF!="Mayor"),CONCATENATE("R7C",'Mapa final'!#REF!),"")</f>
        <v>#REF!</v>
      </c>
      <c r="AD52" s="49" t="e">
        <f>IF(AND('Mapa final'!#REF!="Muy Baja",'Mapa final'!#REF!="Mayor"),CONCATENATE("R7C",'Mapa final'!#REF!),"")</f>
        <v>#REF!</v>
      </c>
      <c r="AE52" s="49" t="e">
        <f>IF(AND('Mapa final'!#REF!="Muy Baja",'Mapa final'!#REF!="Mayor"),CONCATENATE("R7C",'Mapa final'!#REF!),"")</f>
        <v>#REF!</v>
      </c>
      <c r="AF52" s="49" t="e">
        <f>IF(AND('Mapa final'!#REF!="Muy Baja",'Mapa final'!#REF!="Mayor"),CONCATENATE("R7C",'Mapa final'!#REF!),"")</f>
        <v>#REF!</v>
      </c>
      <c r="AG52" s="50" t="e">
        <f>IF(AND('Mapa final'!#REF!="Muy Baja",'Mapa final'!#REF!="Mayor"),CONCATENATE("R7C",'Mapa final'!#REF!),"")</f>
        <v>#REF!</v>
      </c>
      <c r="AH52" s="51" t="e">
        <f>IF(AND('Mapa final'!#REF!="Muy Baja",'Mapa final'!#REF!="Catastrófico"),CONCATENATE("R7C",'Mapa final'!#REF!),"")</f>
        <v>#REF!</v>
      </c>
      <c r="AI52" s="52" t="e">
        <f>IF(AND('Mapa final'!#REF!="Muy Baja",'Mapa final'!#REF!="Catastrófico"),CONCATENATE("R7C",'Mapa final'!#REF!),"")</f>
        <v>#REF!</v>
      </c>
      <c r="AJ52" s="52" t="e">
        <f>IF(AND('Mapa final'!#REF!="Muy Baja",'Mapa final'!#REF!="Catastrófico"),CONCATENATE("R7C",'Mapa final'!#REF!),"")</f>
        <v>#REF!</v>
      </c>
      <c r="AK52" s="52" t="e">
        <f>IF(AND('Mapa final'!#REF!="Muy Baja",'Mapa final'!#REF!="Catastrófico"),CONCATENATE("R7C",'Mapa final'!#REF!),"")</f>
        <v>#REF!</v>
      </c>
      <c r="AL52" s="52" t="e">
        <f>IF(AND('Mapa final'!#REF!="Muy Baja",'Mapa final'!#REF!="Catastrófico"),CONCATENATE("R7C",'Mapa final'!#REF!),"")</f>
        <v>#REF!</v>
      </c>
      <c r="AM52" s="53" t="e">
        <f>IF(AND('Mapa final'!#REF!="Muy Baja",'Mapa final'!#REF!="Catastrófico"),CONCATENATE("R7C",'Mapa final'!#REF!),"")</f>
        <v>#REF!</v>
      </c>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row>
    <row r="53" spans="1:80" ht="15" customHeight="1" x14ac:dyDescent="0.25">
      <c r="A53" s="79"/>
      <c r="B53" s="407"/>
      <c r="C53" s="407"/>
      <c r="D53" s="408"/>
      <c r="E53" s="448"/>
      <c r="F53" s="449"/>
      <c r="G53" s="449"/>
      <c r="H53" s="449"/>
      <c r="I53" s="450"/>
      <c r="J53" s="72" t="e">
        <f>IF(AND('Mapa final'!#REF!="Muy Baja",'Mapa final'!#REF!="Leve"),CONCATENATE("R8C",'Mapa final'!#REF!),"")</f>
        <v>#REF!</v>
      </c>
      <c r="K53" s="73" t="e">
        <f>IF(AND('Mapa final'!#REF!="Muy Baja",'Mapa final'!#REF!="Leve"),CONCATENATE("R8C",'Mapa final'!#REF!),"")</f>
        <v>#REF!</v>
      </c>
      <c r="L53" s="73" t="e">
        <f>IF(AND('Mapa final'!#REF!="Muy Baja",'Mapa final'!#REF!="Leve"),CONCATENATE("R8C",'Mapa final'!#REF!),"")</f>
        <v>#REF!</v>
      </c>
      <c r="M53" s="73" t="e">
        <f>IF(AND('Mapa final'!#REF!="Muy Baja",'Mapa final'!#REF!="Leve"),CONCATENATE("R8C",'Mapa final'!#REF!),"")</f>
        <v>#REF!</v>
      </c>
      <c r="N53" s="73" t="e">
        <f>IF(AND('Mapa final'!#REF!="Muy Baja",'Mapa final'!#REF!="Leve"),CONCATENATE("R8C",'Mapa final'!#REF!),"")</f>
        <v>#REF!</v>
      </c>
      <c r="O53" s="74" t="e">
        <f>IF(AND('Mapa final'!#REF!="Muy Baja",'Mapa final'!#REF!="Leve"),CONCATENATE("R8C",'Mapa final'!#REF!),"")</f>
        <v>#REF!</v>
      </c>
      <c r="P53" s="72" t="e">
        <f>IF(AND('Mapa final'!#REF!="Muy Baja",'Mapa final'!#REF!="Menor"),CONCATENATE("R8C",'Mapa final'!#REF!),"")</f>
        <v>#REF!</v>
      </c>
      <c r="Q53" s="73" t="e">
        <f>IF(AND('Mapa final'!#REF!="Muy Baja",'Mapa final'!#REF!="Menor"),CONCATENATE("R8C",'Mapa final'!#REF!),"")</f>
        <v>#REF!</v>
      </c>
      <c r="R53" s="73" t="e">
        <f>IF(AND('Mapa final'!#REF!="Muy Baja",'Mapa final'!#REF!="Menor"),CONCATENATE("R8C",'Mapa final'!#REF!),"")</f>
        <v>#REF!</v>
      </c>
      <c r="S53" s="73" t="e">
        <f>IF(AND('Mapa final'!#REF!="Muy Baja",'Mapa final'!#REF!="Menor"),CONCATENATE("R8C",'Mapa final'!#REF!),"")</f>
        <v>#REF!</v>
      </c>
      <c r="T53" s="73" t="e">
        <f>IF(AND('Mapa final'!#REF!="Muy Baja",'Mapa final'!#REF!="Menor"),CONCATENATE("R8C",'Mapa final'!#REF!),"")</f>
        <v>#REF!</v>
      </c>
      <c r="U53" s="74" t="e">
        <f>IF(AND('Mapa final'!#REF!="Muy Baja",'Mapa final'!#REF!="Menor"),CONCATENATE("R8C",'Mapa final'!#REF!),"")</f>
        <v>#REF!</v>
      </c>
      <c r="V53" s="63" t="e">
        <f>IF(AND('Mapa final'!#REF!="Muy Baja",'Mapa final'!#REF!="Moderado"),CONCATENATE("R8C",'Mapa final'!#REF!),"")</f>
        <v>#REF!</v>
      </c>
      <c r="W53" s="64" t="e">
        <f>IF(AND('Mapa final'!#REF!="Muy Baja",'Mapa final'!#REF!="Moderado"),CONCATENATE("R8C",'Mapa final'!#REF!),"")</f>
        <v>#REF!</v>
      </c>
      <c r="X53" s="64" t="e">
        <f>IF(AND('Mapa final'!#REF!="Muy Baja",'Mapa final'!#REF!="Moderado"),CONCATENATE("R8C",'Mapa final'!#REF!),"")</f>
        <v>#REF!</v>
      </c>
      <c r="Y53" s="64" t="e">
        <f>IF(AND('Mapa final'!#REF!="Muy Baja",'Mapa final'!#REF!="Moderado"),CONCATENATE("R8C",'Mapa final'!#REF!),"")</f>
        <v>#REF!</v>
      </c>
      <c r="Z53" s="64" t="e">
        <f>IF(AND('Mapa final'!#REF!="Muy Baja",'Mapa final'!#REF!="Moderado"),CONCATENATE("R8C",'Mapa final'!#REF!),"")</f>
        <v>#REF!</v>
      </c>
      <c r="AA53" s="65" t="e">
        <f>IF(AND('Mapa final'!#REF!="Muy Baja",'Mapa final'!#REF!="Moderado"),CONCATENATE("R8C",'Mapa final'!#REF!),"")</f>
        <v>#REF!</v>
      </c>
      <c r="AB53" s="48" t="e">
        <f>IF(AND('Mapa final'!#REF!="Muy Baja",'Mapa final'!#REF!="Mayor"),CONCATENATE("R8C",'Mapa final'!#REF!),"")</f>
        <v>#REF!</v>
      </c>
      <c r="AC53" s="49" t="e">
        <f>IF(AND('Mapa final'!#REF!="Muy Baja",'Mapa final'!#REF!="Mayor"),CONCATENATE("R8C",'Mapa final'!#REF!),"")</f>
        <v>#REF!</v>
      </c>
      <c r="AD53" s="49" t="e">
        <f>IF(AND('Mapa final'!#REF!="Muy Baja",'Mapa final'!#REF!="Mayor"),CONCATENATE("R8C",'Mapa final'!#REF!),"")</f>
        <v>#REF!</v>
      </c>
      <c r="AE53" s="49" t="e">
        <f>IF(AND('Mapa final'!#REF!="Muy Baja",'Mapa final'!#REF!="Mayor"),CONCATENATE("R8C",'Mapa final'!#REF!),"")</f>
        <v>#REF!</v>
      </c>
      <c r="AF53" s="49" t="e">
        <f>IF(AND('Mapa final'!#REF!="Muy Baja",'Mapa final'!#REF!="Mayor"),CONCATENATE("R8C",'Mapa final'!#REF!),"")</f>
        <v>#REF!</v>
      </c>
      <c r="AG53" s="50" t="e">
        <f>IF(AND('Mapa final'!#REF!="Muy Baja",'Mapa final'!#REF!="Mayor"),CONCATENATE("R8C",'Mapa final'!#REF!),"")</f>
        <v>#REF!</v>
      </c>
      <c r="AH53" s="51" t="e">
        <f>IF(AND('Mapa final'!#REF!="Muy Baja",'Mapa final'!#REF!="Catastrófico"),CONCATENATE("R8C",'Mapa final'!#REF!),"")</f>
        <v>#REF!</v>
      </c>
      <c r="AI53" s="52" t="e">
        <f>IF(AND('Mapa final'!#REF!="Muy Baja",'Mapa final'!#REF!="Catastrófico"),CONCATENATE("R8C",'Mapa final'!#REF!),"")</f>
        <v>#REF!</v>
      </c>
      <c r="AJ53" s="52" t="e">
        <f>IF(AND('Mapa final'!#REF!="Muy Baja",'Mapa final'!#REF!="Catastrófico"),CONCATENATE("R8C",'Mapa final'!#REF!),"")</f>
        <v>#REF!</v>
      </c>
      <c r="AK53" s="52" t="e">
        <f>IF(AND('Mapa final'!#REF!="Muy Baja",'Mapa final'!#REF!="Catastrófico"),CONCATENATE("R8C",'Mapa final'!#REF!),"")</f>
        <v>#REF!</v>
      </c>
      <c r="AL53" s="52" t="e">
        <f>IF(AND('Mapa final'!#REF!="Muy Baja",'Mapa final'!#REF!="Catastrófico"),CONCATENATE("R8C",'Mapa final'!#REF!),"")</f>
        <v>#REF!</v>
      </c>
      <c r="AM53" s="53" t="e">
        <f>IF(AND('Mapa final'!#REF!="Muy Baja",'Mapa final'!#REF!="Catastrófico"),CONCATENATE("R8C",'Mapa final'!#REF!),"")</f>
        <v>#REF!</v>
      </c>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row>
    <row r="54" spans="1:80" ht="15" customHeight="1" x14ac:dyDescent="0.25">
      <c r="A54" s="79"/>
      <c r="B54" s="407"/>
      <c r="C54" s="407"/>
      <c r="D54" s="408"/>
      <c r="E54" s="448"/>
      <c r="F54" s="449"/>
      <c r="G54" s="449"/>
      <c r="H54" s="449"/>
      <c r="I54" s="450"/>
      <c r="J54" s="72" t="e">
        <f>IF(AND('Mapa final'!#REF!="Muy Baja",'Mapa final'!#REF!="Leve"),CONCATENATE("R9C",'Mapa final'!#REF!),"")</f>
        <v>#REF!</v>
      </c>
      <c r="K54" s="73" t="e">
        <f>IF(AND('Mapa final'!#REF!="Muy Baja",'Mapa final'!#REF!="Leve"),CONCATENATE("R9C",'Mapa final'!#REF!),"")</f>
        <v>#REF!</v>
      </c>
      <c r="L54" s="73" t="e">
        <f>IF(AND('Mapa final'!#REF!="Muy Baja",'Mapa final'!#REF!="Leve"),CONCATENATE("R9C",'Mapa final'!#REF!),"")</f>
        <v>#REF!</v>
      </c>
      <c r="M54" s="73" t="e">
        <f>IF(AND('Mapa final'!#REF!="Muy Baja",'Mapa final'!#REF!="Leve"),CONCATENATE("R9C",'Mapa final'!#REF!),"")</f>
        <v>#REF!</v>
      </c>
      <c r="N54" s="73" t="e">
        <f>IF(AND('Mapa final'!#REF!="Muy Baja",'Mapa final'!#REF!="Leve"),CONCATENATE("R9C",'Mapa final'!#REF!),"")</f>
        <v>#REF!</v>
      </c>
      <c r="O54" s="74" t="e">
        <f>IF(AND('Mapa final'!#REF!="Muy Baja",'Mapa final'!#REF!="Leve"),CONCATENATE("R9C",'Mapa final'!#REF!),"")</f>
        <v>#REF!</v>
      </c>
      <c r="P54" s="72" t="e">
        <f>IF(AND('Mapa final'!#REF!="Muy Baja",'Mapa final'!#REF!="Menor"),CONCATENATE("R9C",'Mapa final'!#REF!),"")</f>
        <v>#REF!</v>
      </c>
      <c r="Q54" s="73" t="e">
        <f>IF(AND('Mapa final'!#REF!="Muy Baja",'Mapa final'!#REF!="Menor"),CONCATENATE("R9C",'Mapa final'!#REF!),"")</f>
        <v>#REF!</v>
      </c>
      <c r="R54" s="73" t="e">
        <f>IF(AND('Mapa final'!#REF!="Muy Baja",'Mapa final'!#REF!="Menor"),CONCATENATE("R9C",'Mapa final'!#REF!),"")</f>
        <v>#REF!</v>
      </c>
      <c r="S54" s="73" t="e">
        <f>IF(AND('Mapa final'!#REF!="Muy Baja",'Mapa final'!#REF!="Menor"),CONCATENATE("R9C",'Mapa final'!#REF!),"")</f>
        <v>#REF!</v>
      </c>
      <c r="T54" s="73" t="e">
        <f>IF(AND('Mapa final'!#REF!="Muy Baja",'Mapa final'!#REF!="Menor"),CONCATENATE("R9C",'Mapa final'!#REF!),"")</f>
        <v>#REF!</v>
      </c>
      <c r="U54" s="74" t="e">
        <f>IF(AND('Mapa final'!#REF!="Muy Baja",'Mapa final'!#REF!="Menor"),CONCATENATE("R9C",'Mapa final'!#REF!),"")</f>
        <v>#REF!</v>
      </c>
      <c r="V54" s="63" t="e">
        <f>IF(AND('Mapa final'!#REF!="Muy Baja",'Mapa final'!#REF!="Moderado"),CONCATENATE("R9C",'Mapa final'!#REF!),"")</f>
        <v>#REF!</v>
      </c>
      <c r="W54" s="64" t="e">
        <f>IF(AND('Mapa final'!#REF!="Muy Baja",'Mapa final'!#REF!="Moderado"),CONCATENATE("R9C",'Mapa final'!#REF!),"")</f>
        <v>#REF!</v>
      </c>
      <c r="X54" s="64" t="e">
        <f>IF(AND('Mapa final'!#REF!="Muy Baja",'Mapa final'!#REF!="Moderado"),CONCATENATE("R9C",'Mapa final'!#REF!),"")</f>
        <v>#REF!</v>
      </c>
      <c r="Y54" s="64" t="e">
        <f>IF(AND('Mapa final'!#REF!="Muy Baja",'Mapa final'!#REF!="Moderado"),CONCATENATE("R9C",'Mapa final'!#REF!),"")</f>
        <v>#REF!</v>
      </c>
      <c r="Z54" s="64" t="e">
        <f>IF(AND('Mapa final'!#REF!="Muy Baja",'Mapa final'!#REF!="Moderado"),CONCATENATE("R9C",'Mapa final'!#REF!),"")</f>
        <v>#REF!</v>
      </c>
      <c r="AA54" s="65" t="e">
        <f>IF(AND('Mapa final'!#REF!="Muy Baja",'Mapa final'!#REF!="Moderado"),CONCATENATE("R9C",'Mapa final'!#REF!),"")</f>
        <v>#REF!</v>
      </c>
      <c r="AB54" s="48" t="e">
        <f>IF(AND('Mapa final'!#REF!="Muy Baja",'Mapa final'!#REF!="Mayor"),CONCATENATE("R9C",'Mapa final'!#REF!),"")</f>
        <v>#REF!</v>
      </c>
      <c r="AC54" s="49" t="e">
        <f>IF(AND('Mapa final'!#REF!="Muy Baja",'Mapa final'!#REF!="Mayor"),CONCATENATE("R9C",'Mapa final'!#REF!),"")</f>
        <v>#REF!</v>
      </c>
      <c r="AD54" s="49" t="e">
        <f>IF(AND('Mapa final'!#REF!="Muy Baja",'Mapa final'!#REF!="Mayor"),CONCATENATE("R9C",'Mapa final'!#REF!),"")</f>
        <v>#REF!</v>
      </c>
      <c r="AE54" s="49" t="e">
        <f>IF(AND('Mapa final'!#REF!="Muy Baja",'Mapa final'!#REF!="Mayor"),CONCATENATE("R9C",'Mapa final'!#REF!),"")</f>
        <v>#REF!</v>
      </c>
      <c r="AF54" s="49" t="e">
        <f>IF(AND('Mapa final'!#REF!="Muy Baja",'Mapa final'!#REF!="Mayor"),CONCATENATE("R9C",'Mapa final'!#REF!),"")</f>
        <v>#REF!</v>
      </c>
      <c r="AG54" s="50" t="e">
        <f>IF(AND('Mapa final'!#REF!="Muy Baja",'Mapa final'!#REF!="Mayor"),CONCATENATE("R9C",'Mapa final'!#REF!),"")</f>
        <v>#REF!</v>
      </c>
      <c r="AH54" s="51" t="e">
        <f>IF(AND('Mapa final'!#REF!="Muy Baja",'Mapa final'!#REF!="Catastrófico"),CONCATENATE("R9C",'Mapa final'!#REF!),"")</f>
        <v>#REF!</v>
      </c>
      <c r="AI54" s="52" t="e">
        <f>IF(AND('Mapa final'!#REF!="Muy Baja",'Mapa final'!#REF!="Catastrófico"),CONCATENATE("R9C",'Mapa final'!#REF!),"")</f>
        <v>#REF!</v>
      </c>
      <c r="AJ54" s="52" t="e">
        <f>IF(AND('Mapa final'!#REF!="Muy Baja",'Mapa final'!#REF!="Catastrófico"),CONCATENATE("R9C",'Mapa final'!#REF!),"")</f>
        <v>#REF!</v>
      </c>
      <c r="AK54" s="52" t="e">
        <f>IF(AND('Mapa final'!#REF!="Muy Baja",'Mapa final'!#REF!="Catastrófico"),CONCATENATE("R9C",'Mapa final'!#REF!),"")</f>
        <v>#REF!</v>
      </c>
      <c r="AL54" s="52" t="e">
        <f>IF(AND('Mapa final'!#REF!="Muy Baja",'Mapa final'!#REF!="Catastrófico"),CONCATENATE("R9C",'Mapa final'!#REF!),"")</f>
        <v>#REF!</v>
      </c>
      <c r="AM54" s="53" t="e">
        <f>IF(AND('Mapa final'!#REF!="Muy Baja",'Mapa final'!#REF!="Catastrófico"),CONCATENATE("R9C",'Mapa final'!#REF!),"")</f>
        <v>#REF!</v>
      </c>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row>
    <row r="55" spans="1:80" ht="15.75" customHeight="1" thickBot="1" x14ac:dyDescent="0.3">
      <c r="A55" s="79"/>
      <c r="B55" s="407"/>
      <c r="C55" s="407"/>
      <c r="D55" s="408"/>
      <c r="E55" s="451"/>
      <c r="F55" s="452"/>
      <c r="G55" s="452"/>
      <c r="H55" s="452"/>
      <c r="I55" s="453"/>
      <c r="J55" s="75" t="e">
        <f>IF(AND('Mapa final'!#REF!="Muy Baja",'Mapa final'!#REF!="Leve"),CONCATENATE("R10C",'Mapa final'!#REF!),"")</f>
        <v>#REF!</v>
      </c>
      <c r="K55" s="76" t="e">
        <f>IF(AND('Mapa final'!#REF!="Muy Baja",'Mapa final'!#REF!="Leve"),CONCATENATE("R10C",'Mapa final'!#REF!),"")</f>
        <v>#REF!</v>
      </c>
      <c r="L55" s="76" t="e">
        <f>IF(AND('Mapa final'!#REF!="Muy Baja",'Mapa final'!#REF!="Leve"),CONCATENATE("R10C",'Mapa final'!#REF!),"")</f>
        <v>#REF!</v>
      </c>
      <c r="M55" s="76" t="e">
        <f>IF(AND('Mapa final'!#REF!="Muy Baja",'Mapa final'!#REF!="Leve"),CONCATENATE("R10C",'Mapa final'!#REF!),"")</f>
        <v>#REF!</v>
      </c>
      <c r="N55" s="76" t="e">
        <f>IF(AND('Mapa final'!#REF!="Muy Baja",'Mapa final'!#REF!="Leve"),CONCATENATE("R10C",'Mapa final'!#REF!),"")</f>
        <v>#REF!</v>
      </c>
      <c r="O55" s="77" t="e">
        <f>IF(AND('Mapa final'!#REF!="Muy Baja",'Mapa final'!#REF!="Leve"),CONCATENATE("R10C",'Mapa final'!#REF!),"")</f>
        <v>#REF!</v>
      </c>
      <c r="P55" s="75" t="e">
        <f>IF(AND('Mapa final'!#REF!="Muy Baja",'Mapa final'!#REF!="Menor"),CONCATENATE("R10C",'Mapa final'!#REF!),"")</f>
        <v>#REF!</v>
      </c>
      <c r="Q55" s="76" t="e">
        <f>IF(AND('Mapa final'!#REF!="Muy Baja",'Mapa final'!#REF!="Menor"),CONCATENATE("R10C",'Mapa final'!#REF!),"")</f>
        <v>#REF!</v>
      </c>
      <c r="R55" s="76" t="e">
        <f>IF(AND('Mapa final'!#REF!="Muy Baja",'Mapa final'!#REF!="Menor"),CONCATENATE("R10C",'Mapa final'!#REF!),"")</f>
        <v>#REF!</v>
      </c>
      <c r="S55" s="76" t="e">
        <f>IF(AND('Mapa final'!#REF!="Muy Baja",'Mapa final'!#REF!="Menor"),CONCATENATE("R10C",'Mapa final'!#REF!),"")</f>
        <v>#REF!</v>
      </c>
      <c r="T55" s="76" t="e">
        <f>IF(AND('Mapa final'!#REF!="Muy Baja",'Mapa final'!#REF!="Menor"),CONCATENATE("R10C",'Mapa final'!#REF!),"")</f>
        <v>#REF!</v>
      </c>
      <c r="U55" s="77" t="e">
        <f>IF(AND('Mapa final'!#REF!="Muy Baja",'Mapa final'!#REF!="Menor"),CONCATENATE("R10C",'Mapa final'!#REF!),"")</f>
        <v>#REF!</v>
      </c>
      <c r="V55" s="66" t="e">
        <f>IF(AND('Mapa final'!#REF!="Muy Baja",'Mapa final'!#REF!="Moderado"),CONCATENATE("R10C",'Mapa final'!#REF!),"")</f>
        <v>#REF!</v>
      </c>
      <c r="W55" s="67" t="e">
        <f>IF(AND('Mapa final'!#REF!="Muy Baja",'Mapa final'!#REF!="Moderado"),CONCATENATE("R10C",'Mapa final'!#REF!),"")</f>
        <v>#REF!</v>
      </c>
      <c r="X55" s="67" t="e">
        <f>IF(AND('Mapa final'!#REF!="Muy Baja",'Mapa final'!#REF!="Moderado"),CONCATENATE("R10C",'Mapa final'!#REF!),"")</f>
        <v>#REF!</v>
      </c>
      <c r="Y55" s="67" t="e">
        <f>IF(AND('Mapa final'!#REF!="Muy Baja",'Mapa final'!#REF!="Moderado"),CONCATENATE("R10C",'Mapa final'!#REF!),"")</f>
        <v>#REF!</v>
      </c>
      <c r="Z55" s="67" t="e">
        <f>IF(AND('Mapa final'!#REF!="Muy Baja",'Mapa final'!#REF!="Moderado"),CONCATENATE("R10C",'Mapa final'!#REF!),"")</f>
        <v>#REF!</v>
      </c>
      <c r="AA55" s="68" t="e">
        <f>IF(AND('Mapa final'!#REF!="Muy Baja",'Mapa final'!#REF!="Moderado"),CONCATENATE("R10C",'Mapa final'!#REF!),"")</f>
        <v>#REF!</v>
      </c>
      <c r="AB55" s="54" t="e">
        <f>IF(AND('Mapa final'!#REF!="Muy Baja",'Mapa final'!#REF!="Mayor"),CONCATENATE("R10C",'Mapa final'!#REF!),"")</f>
        <v>#REF!</v>
      </c>
      <c r="AC55" s="55" t="e">
        <f>IF(AND('Mapa final'!#REF!="Muy Baja",'Mapa final'!#REF!="Mayor"),CONCATENATE("R10C",'Mapa final'!#REF!),"")</f>
        <v>#REF!</v>
      </c>
      <c r="AD55" s="55" t="e">
        <f>IF(AND('Mapa final'!#REF!="Muy Baja",'Mapa final'!#REF!="Mayor"),CONCATENATE("R10C",'Mapa final'!#REF!),"")</f>
        <v>#REF!</v>
      </c>
      <c r="AE55" s="55" t="e">
        <f>IF(AND('Mapa final'!#REF!="Muy Baja",'Mapa final'!#REF!="Mayor"),CONCATENATE("R10C",'Mapa final'!#REF!),"")</f>
        <v>#REF!</v>
      </c>
      <c r="AF55" s="55" t="e">
        <f>IF(AND('Mapa final'!#REF!="Muy Baja",'Mapa final'!#REF!="Mayor"),CONCATENATE("R10C",'Mapa final'!#REF!),"")</f>
        <v>#REF!</v>
      </c>
      <c r="AG55" s="56" t="e">
        <f>IF(AND('Mapa final'!#REF!="Muy Baja",'Mapa final'!#REF!="Mayor"),CONCATENATE("R10C",'Mapa final'!#REF!),"")</f>
        <v>#REF!</v>
      </c>
      <c r="AH55" s="57" t="e">
        <f>IF(AND('Mapa final'!#REF!="Muy Baja",'Mapa final'!#REF!="Catastrófico"),CONCATENATE("R10C",'Mapa final'!#REF!),"")</f>
        <v>#REF!</v>
      </c>
      <c r="AI55" s="58" t="e">
        <f>IF(AND('Mapa final'!#REF!="Muy Baja",'Mapa final'!#REF!="Catastrófico"),CONCATENATE("R10C",'Mapa final'!#REF!),"")</f>
        <v>#REF!</v>
      </c>
      <c r="AJ55" s="58" t="e">
        <f>IF(AND('Mapa final'!#REF!="Muy Baja",'Mapa final'!#REF!="Catastrófico"),CONCATENATE("R10C",'Mapa final'!#REF!),"")</f>
        <v>#REF!</v>
      </c>
      <c r="AK55" s="58" t="e">
        <f>IF(AND('Mapa final'!#REF!="Muy Baja",'Mapa final'!#REF!="Catastrófico"),CONCATENATE("R10C",'Mapa final'!#REF!),"")</f>
        <v>#REF!</v>
      </c>
      <c r="AL55" s="58" t="e">
        <f>IF(AND('Mapa final'!#REF!="Muy Baja",'Mapa final'!#REF!="Catastrófico"),CONCATENATE("R10C",'Mapa final'!#REF!),"")</f>
        <v>#REF!</v>
      </c>
      <c r="AM55" s="59" t="e">
        <f>IF(AND('Mapa final'!#REF!="Muy Baja",'Mapa final'!#REF!="Catastrófico"),CONCATENATE("R10C",'Mapa final'!#REF!),"")</f>
        <v>#REF!</v>
      </c>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row>
    <row r="56" spans="1:80" x14ac:dyDescent="0.25">
      <c r="A56" s="79"/>
      <c r="B56" s="79"/>
      <c r="C56" s="79"/>
      <c r="D56" s="79"/>
      <c r="E56" s="79"/>
      <c r="F56" s="79"/>
      <c r="G56" s="79"/>
      <c r="H56" s="79"/>
      <c r="I56" s="79"/>
      <c r="J56" s="445" t="s">
        <v>112</v>
      </c>
      <c r="K56" s="446"/>
      <c r="L56" s="446"/>
      <c r="M56" s="446"/>
      <c r="N56" s="446"/>
      <c r="O56" s="447"/>
      <c r="P56" s="445" t="s">
        <v>111</v>
      </c>
      <c r="Q56" s="446"/>
      <c r="R56" s="446"/>
      <c r="S56" s="446"/>
      <c r="T56" s="446"/>
      <c r="U56" s="447"/>
      <c r="V56" s="445" t="s">
        <v>110</v>
      </c>
      <c r="W56" s="446"/>
      <c r="X56" s="446"/>
      <c r="Y56" s="446"/>
      <c r="Z56" s="446"/>
      <c r="AA56" s="447"/>
      <c r="AB56" s="445" t="s">
        <v>109</v>
      </c>
      <c r="AC56" s="454"/>
      <c r="AD56" s="446"/>
      <c r="AE56" s="446"/>
      <c r="AF56" s="446"/>
      <c r="AG56" s="447"/>
      <c r="AH56" s="445" t="s">
        <v>108</v>
      </c>
      <c r="AI56" s="446"/>
      <c r="AJ56" s="446"/>
      <c r="AK56" s="446"/>
      <c r="AL56" s="446"/>
      <c r="AM56" s="447"/>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row>
    <row r="57" spans="1:80" x14ac:dyDescent="0.25">
      <c r="A57" s="79"/>
      <c r="B57" s="79"/>
      <c r="C57" s="79"/>
      <c r="D57" s="79"/>
      <c r="E57" s="79"/>
      <c r="F57" s="79"/>
      <c r="G57" s="79"/>
      <c r="H57" s="79"/>
      <c r="I57" s="79"/>
      <c r="J57" s="448"/>
      <c r="K57" s="449"/>
      <c r="L57" s="449"/>
      <c r="M57" s="449"/>
      <c r="N57" s="449"/>
      <c r="O57" s="450"/>
      <c r="P57" s="448"/>
      <c r="Q57" s="449"/>
      <c r="R57" s="449"/>
      <c r="S57" s="449"/>
      <c r="T57" s="449"/>
      <c r="U57" s="450"/>
      <c r="V57" s="448"/>
      <c r="W57" s="449"/>
      <c r="X57" s="449"/>
      <c r="Y57" s="449"/>
      <c r="Z57" s="449"/>
      <c r="AA57" s="450"/>
      <c r="AB57" s="448"/>
      <c r="AC57" s="449"/>
      <c r="AD57" s="449"/>
      <c r="AE57" s="449"/>
      <c r="AF57" s="449"/>
      <c r="AG57" s="450"/>
      <c r="AH57" s="448"/>
      <c r="AI57" s="449"/>
      <c r="AJ57" s="449"/>
      <c r="AK57" s="449"/>
      <c r="AL57" s="449"/>
      <c r="AM57" s="450"/>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row>
    <row r="58" spans="1:80" x14ac:dyDescent="0.25">
      <c r="A58" s="79"/>
      <c r="B58" s="79"/>
      <c r="C58" s="79"/>
      <c r="D58" s="79"/>
      <c r="E58" s="79"/>
      <c r="F58" s="79"/>
      <c r="G58" s="79"/>
      <c r="H58" s="79"/>
      <c r="I58" s="79"/>
      <c r="J58" s="448"/>
      <c r="K58" s="449"/>
      <c r="L58" s="449"/>
      <c r="M58" s="449"/>
      <c r="N58" s="449"/>
      <c r="O58" s="450"/>
      <c r="P58" s="448"/>
      <c r="Q58" s="449"/>
      <c r="R58" s="449"/>
      <c r="S58" s="449"/>
      <c r="T58" s="449"/>
      <c r="U58" s="450"/>
      <c r="V58" s="448"/>
      <c r="W58" s="449"/>
      <c r="X58" s="449"/>
      <c r="Y58" s="449"/>
      <c r="Z58" s="449"/>
      <c r="AA58" s="450"/>
      <c r="AB58" s="448"/>
      <c r="AC58" s="449"/>
      <c r="AD58" s="449"/>
      <c r="AE58" s="449"/>
      <c r="AF58" s="449"/>
      <c r="AG58" s="450"/>
      <c r="AH58" s="448"/>
      <c r="AI58" s="449"/>
      <c r="AJ58" s="449"/>
      <c r="AK58" s="449"/>
      <c r="AL58" s="449"/>
      <c r="AM58" s="450"/>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row>
    <row r="59" spans="1:80" x14ac:dyDescent="0.25">
      <c r="A59" s="79"/>
      <c r="B59" s="79"/>
      <c r="C59" s="79"/>
      <c r="D59" s="79"/>
      <c r="E59" s="79"/>
      <c r="F59" s="79"/>
      <c r="G59" s="79"/>
      <c r="H59" s="79"/>
      <c r="I59" s="79"/>
      <c r="J59" s="448"/>
      <c r="K59" s="449"/>
      <c r="L59" s="449"/>
      <c r="M59" s="449"/>
      <c r="N59" s="449"/>
      <c r="O59" s="450"/>
      <c r="P59" s="448"/>
      <c r="Q59" s="449"/>
      <c r="R59" s="449"/>
      <c r="S59" s="449"/>
      <c r="T59" s="449"/>
      <c r="U59" s="450"/>
      <c r="V59" s="448"/>
      <c r="W59" s="449"/>
      <c r="X59" s="449"/>
      <c r="Y59" s="449"/>
      <c r="Z59" s="449"/>
      <c r="AA59" s="450"/>
      <c r="AB59" s="448"/>
      <c r="AC59" s="449"/>
      <c r="AD59" s="449"/>
      <c r="AE59" s="449"/>
      <c r="AF59" s="449"/>
      <c r="AG59" s="450"/>
      <c r="AH59" s="448"/>
      <c r="AI59" s="449"/>
      <c r="AJ59" s="449"/>
      <c r="AK59" s="449"/>
      <c r="AL59" s="449"/>
      <c r="AM59" s="450"/>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row>
    <row r="60" spans="1:80" x14ac:dyDescent="0.25">
      <c r="A60" s="79"/>
      <c r="B60" s="79"/>
      <c r="C60" s="79"/>
      <c r="D60" s="79"/>
      <c r="E60" s="79"/>
      <c r="F60" s="79"/>
      <c r="G60" s="79"/>
      <c r="H60" s="79"/>
      <c r="I60" s="79"/>
      <c r="J60" s="448"/>
      <c r="K60" s="449"/>
      <c r="L60" s="449"/>
      <c r="M60" s="449"/>
      <c r="N60" s="449"/>
      <c r="O60" s="450"/>
      <c r="P60" s="448"/>
      <c r="Q60" s="449"/>
      <c r="R60" s="449"/>
      <c r="S60" s="449"/>
      <c r="T60" s="449"/>
      <c r="U60" s="450"/>
      <c r="V60" s="448"/>
      <c r="W60" s="449"/>
      <c r="X60" s="449"/>
      <c r="Y60" s="449"/>
      <c r="Z60" s="449"/>
      <c r="AA60" s="450"/>
      <c r="AB60" s="448"/>
      <c r="AC60" s="449"/>
      <c r="AD60" s="449"/>
      <c r="AE60" s="449"/>
      <c r="AF60" s="449"/>
      <c r="AG60" s="450"/>
      <c r="AH60" s="448"/>
      <c r="AI60" s="449"/>
      <c r="AJ60" s="449"/>
      <c r="AK60" s="449"/>
      <c r="AL60" s="449"/>
      <c r="AM60" s="450"/>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row>
    <row r="61" spans="1:80" ht="15.75" thickBot="1" x14ac:dyDescent="0.3">
      <c r="A61" s="79"/>
      <c r="B61" s="79"/>
      <c r="C61" s="79"/>
      <c r="D61" s="79"/>
      <c r="E61" s="79"/>
      <c r="F61" s="79"/>
      <c r="G61" s="79"/>
      <c r="H61" s="79"/>
      <c r="I61" s="79"/>
      <c r="J61" s="451"/>
      <c r="K61" s="452"/>
      <c r="L61" s="452"/>
      <c r="M61" s="452"/>
      <c r="N61" s="452"/>
      <c r="O61" s="453"/>
      <c r="P61" s="451"/>
      <c r="Q61" s="452"/>
      <c r="R61" s="452"/>
      <c r="S61" s="452"/>
      <c r="T61" s="452"/>
      <c r="U61" s="453"/>
      <c r="V61" s="451"/>
      <c r="W61" s="452"/>
      <c r="X61" s="452"/>
      <c r="Y61" s="452"/>
      <c r="Z61" s="452"/>
      <c r="AA61" s="453"/>
      <c r="AB61" s="451"/>
      <c r="AC61" s="452"/>
      <c r="AD61" s="452"/>
      <c r="AE61" s="452"/>
      <c r="AF61" s="452"/>
      <c r="AG61" s="453"/>
      <c r="AH61" s="451"/>
      <c r="AI61" s="452"/>
      <c r="AJ61" s="452"/>
      <c r="AK61" s="452"/>
      <c r="AL61" s="452"/>
      <c r="AM61" s="453"/>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row>
    <row r="62" spans="1:80" x14ac:dyDescent="0.25">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row>
    <row r="63" spans="1:80" ht="15" customHeight="1" x14ac:dyDescent="0.25">
      <c r="A63" s="79"/>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79"/>
      <c r="AV63" s="79"/>
      <c r="AW63" s="79"/>
      <c r="AX63" s="79"/>
      <c r="AY63" s="79"/>
      <c r="AZ63" s="79"/>
      <c r="BA63" s="79"/>
      <c r="BB63" s="79"/>
      <c r="BC63" s="79"/>
      <c r="BD63" s="79"/>
      <c r="BE63" s="79"/>
      <c r="BF63" s="79"/>
      <c r="BG63" s="79"/>
      <c r="BH63" s="79"/>
    </row>
    <row r="64" spans="1:80" ht="15" customHeight="1" x14ac:dyDescent="0.25">
      <c r="A64" s="79"/>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79"/>
      <c r="AV64" s="79"/>
      <c r="AW64" s="79"/>
      <c r="AX64" s="79"/>
      <c r="AY64" s="79"/>
      <c r="AZ64" s="79"/>
      <c r="BA64" s="79"/>
      <c r="BB64" s="79"/>
      <c r="BC64" s="79"/>
      <c r="BD64" s="79"/>
      <c r="BE64" s="79"/>
      <c r="BF64" s="79"/>
      <c r="BG64" s="79"/>
      <c r="BH64" s="79"/>
    </row>
    <row r="65" spans="1:60" x14ac:dyDescent="0.25">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row>
    <row r="66" spans="1:60" x14ac:dyDescent="0.2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row>
    <row r="67" spans="1:60" x14ac:dyDescent="0.25">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row>
    <row r="68" spans="1:60" x14ac:dyDescent="0.25">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row>
    <row r="69" spans="1:60" x14ac:dyDescent="0.25">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row>
    <row r="70" spans="1:60" x14ac:dyDescent="0.25">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row>
    <row r="71" spans="1:60" x14ac:dyDescent="0.25">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row>
    <row r="72" spans="1:60" x14ac:dyDescent="0.25">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row>
    <row r="73" spans="1:60" x14ac:dyDescent="0.2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row>
    <row r="74" spans="1:60" x14ac:dyDescent="0.2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row>
    <row r="75" spans="1:60" x14ac:dyDescent="0.2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row>
    <row r="76" spans="1:60" x14ac:dyDescent="0.2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row>
    <row r="77" spans="1:60" x14ac:dyDescent="0.2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row>
    <row r="78" spans="1:60" x14ac:dyDescent="0.25">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row>
    <row r="79" spans="1:60" x14ac:dyDescent="0.25">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row>
    <row r="80" spans="1:60" x14ac:dyDescent="0.25">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row>
    <row r="81" spans="1:60" x14ac:dyDescent="0.25">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row>
    <row r="82" spans="1:60" x14ac:dyDescent="0.25">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row>
    <row r="83" spans="1:60" x14ac:dyDescent="0.25">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row>
    <row r="84" spans="1:60" x14ac:dyDescent="0.25">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row>
    <row r="85" spans="1:60" x14ac:dyDescent="0.25">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row>
    <row r="86" spans="1:60" x14ac:dyDescent="0.25">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row>
    <row r="87" spans="1:60" x14ac:dyDescent="0.25">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row>
    <row r="88" spans="1:60" x14ac:dyDescent="0.25">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row>
    <row r="89" spans="1:60" x14ac:dyDescent="0.25">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row>
    <row r="90" spans="1:60" x14ac:dyDescent="0.25">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row>
    <row r="91" spans="1:60" x14ac:dyDescent="0.25">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row>
    <row r="92" spans="1:60" x14ac:dyDescent="0.25">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row>
    <row r="93" spans="1:60" x14ac:dyDescent="0.25">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row>
    <row r="94" spans="1:60" x14ac:dyDescent="0.25">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row>
    <row r="95" spans="1:60" x14ac:dyDescent="0.25">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row>
    <row r="96" spans="1:60" x14ac:dyDescent="0.25">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row>
    <row r="97" spans="1:60" x14ac:dyDescent="0.25">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row>
    <row r="98" spans="1:60" x14ac:dyDescent="0.25">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row>
    <row r="99" spans="1:60" x14ac:dyDescent="0.25">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row>
    <row r="100" spans="1:60" x14ac:dyDescent="0.25">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row>
    <row r="101" spans="1:60" x14ac:dyDescent="0.25">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row>
    <row r="102" spans="1:60" x14ac:dyDescent="0.25">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row>
    <row r="103" spans="1:60" x14ac:dyDescent="0.25">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row>
    <row r="104" spans="1:60" x14ac:dyDescent="0.25">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row>
    <row r="105" spans="1:60" x14ac:dyDescent="0.25">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row>
    <row r="106" spans="1:60" x14ac:dyDescent="0.25">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row>
    <row r="107" spans="1:60" x14ac:dyDescent="0.25">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row>
    <row r="108" spans="1:60" x14ac:dyDescent="0.25">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row>
    <row r="109" spans="1:60" x14ac:dyDescent="0.25">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row>
    <row r="110" spans="1:60" x14ac:dyDescent="0.25">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row>
    <row r="111" spans="1:60" x14ac:dyDescent="0.25">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row>
    <row r="112" spans="1:60" x14ac:dyDescent="0.25">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row>
    <row r="113" spans="1:60" x14ac:dyDescent="0.25">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row>
    <row r="114" spans="1:60" x14ac:dyDescent="0.25">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row>
    <row r="115" spans="1:60" x14ac:dyDescent="0.25">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row>
    <row r="116" spans="1:60" x14ac:dyDescent="0.25">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row>
    <row r="117" spans="1:60" x14ac:dyDescent="0.25">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row>
    <row r="118" spans="1:60" x14ac:dyDescent="0.25">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row>
    <row r="119" spans="1:60" x14ac:dyDescent="0.25">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row>
    <row r="120" spans="1:60" x14ac:dyDescent="0.25">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row>
    <row r="121" spans="1:60" x14ac:dyDescent="0.25">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row>
    <row r="122" spans="1:60" x14ac:dyDescent="0.25">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row>
    <row r="123" spans="1:60" x14ac:dyDescent="0.25">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row>
    <row r="124" spans="1:60" x14ac:dyDescent="0.25">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row>
    <row r="125" spans="1:60" x14ac:dyDescent="0.25">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row>
    <row r="126" spans="1:60" x14ac:dyDescent="0.25">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row>
    <row r="127" spans="1:60" x14ac:dyDescent="0.25">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row>
    <row r="128" spans="1:60" x14ac:dyDescent="0.25">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row>
    <row r="129" spans="1:60" x14ac:dyDescent="0.25">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row>
    <row r="130" spans="1:60" x14ac:dyDescent="0.25">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79"/>
    </row>
    <row r="131" spans="1:60" x14ac:dyDescent="0.25">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79"/>
      <c r="BH131" s="79"/>
    </row>
    <row r="132" spans="1:60" x14ac:dyDescent="0.25">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row>
    <row r="133" spans="1:60" x14ac:dyDescent="0.25">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row>
    <row r="134" spans="1:60" x14ac:dyDescent="0.25">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row>
    <row r="135" spans="1:60" x14ac:dyDescent="0.25">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row>
    <row r="136" spans="1:60" x14ac:dyDescent="0.25">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79"/>
    </row>
    <row r="137" spans="1:60" x14ac:dyDescent="0.25">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79"/>
      <c r="AP137" s="79"/>
      <c r="AQ137" s="79"/>
      <c r="AR137" s="79"/>
      <c r="AS137" s="79"/>
      <c r="AT137" s="79"/>
      <c r="AU137" s="79"/>
      <c r="AV137" s="79"/>
      <c r="AW137" s="79"/>
      <c r="AX137" s="79"/>
      <c r="AY137" s="79"/>
      <c r="AZ137" s="79"/>
      <c r="BA137" s="79"/>
      <c r="BB137" s="79"/>
      <c r="BC137" s="79"/>
      <c r="BD137" s="79"/>
      <c r="BE137" s="79"/>
      <c r="BF137" s="79"/>
      <c r="BG137" s="79"/>
      <c r="BH137" s="79"/>
    </row>
    <row r="138" spans="1:60" x14ac:dyDescent="0.25">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79"/>
      <c r="AO138" s="79"/>
      <c r="AP138" s="79"/>
      <c r="AQ138" s="79"/>
      <c r="AR138" s="79"/>
      <c r="AS138" s="79"/>
      <c r="AT138" s="79"/>
      <c r="AU138" s="79"/>
      <c r="AV138" s="79"/>
      <c r="AW138" s="79"/>
      <c r="AX138" s="79"/>
      <c r="AY138" s="79"/>
      <c r="AZ138" s="79"/>
      <c r="BA138" s="79"/>
      <c r="BB138" s="79"/>
      <c r="BC138" s="79"/>
      <c r="BD138" s="79"/>
      <c r="BE138" s="79"/>
      <c r="BF138" s="79"/>
      <c r="BG138" s="79"/>
      <c r="BH138" s="79"/>
    </row>
    <row r="139" spans="1:60" x14ac:dyDescent="0.25">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79"/>
      <c r="BH139" s="79"/>
    </row>
    <row r="140" spans="1:60" x14ac:dyDescent="0.25">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79"/>
      <c r="AQ140" s="79"/>
      <c r="AR140" s="79"/>
      <c r="AS140" s="79"/>
      <c r="AT140" s="79"/>
      <c r="AU140" s="79"/>
      <c r="AV140" s="79"/>
      <c r="AW140" s="79"/>
      <c r="AX140" s="79"/>
      <c r="AY140" s="79"/>
      <c r="AZ140" s="79"/>
      <c r="BA140" s="79"/>
      <c r="BB140" s="79"/>
      <c r="BC140" s="79"/>
      <c r="BD140" s="79"/>
      <c r="BE140" s="79"/>
      <c r="BF140" s="79"/>
      <c r="BG140" s="79"/>
      <c r="BH140" s="79"/>
    </row>
    <row r="141" spans="1:60" x14ac:dyDescent="0.25">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row>
    <row r="142" spans="1:60" x14ac:dyDescent="0.25">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row>
    <row r="143" spans="1:60" x14ac:dyDescent="0.25">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c r="BG143" s="79"/>
      <c r="BH143" s="79"/>
    </row>
    <row r="144" spans="1:60" x14ac:dyDescent="0.25">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c r="AQ144" s="79"/>
      <c r="AR144" s="79"/>
      <c r="AS144" s="79"/>
      <c r="AT144" s="79"/>
      <c r="AU144" s="79"/>
      <c r="AV144" s="79"/>
      <c r="AW144" s="79"/>
      <c r="AX144" s="79"/>
      <c r="AY144" s="79"/>
      <c r="AZ144" s="79"/>
      <c r="BA144" s="79"/>
      <c r="BB144" s="79"/>
      <c r="BC144" s="79"/>
      <c r="BD144" s="79"/>
      <c r="BE144" s="79"/>
      <c r="BF144" s="79"/>
      <c r="BG144" s="79"/>
      <c r="BH144" s="79"/>
    </row>
    <row r="145" spans="1:60" x14ac:dyDescent="0.25">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row>
    <row r="146" spans="1:60" x14ac:dyDescent="0.25">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79"/>
      <c r="AO146" s="79"/>
      <c r="AP146" s="79"/>
      <c r="AQ146" s="79"/>
      <c r="AR146" s="79"/>
      <c r="AS146" s="79"/>
      <c r="AT146" s="79"/>
      <c r="AU146" s="79"/>
      <c r="AV146" s="79"/>
      <c r="AW146" s="79"/>
      <c r="AX146" s="79"/>
      <c r="AY146" s="79"/>
      <c r="AZ146" s="79"/>
      <c r="BA146" s="79"/>
      <c r="BB146" s="79"/>
      <c r="BC146" s="79"/>
      <c r="BD146" s="79"/>
      <c r="BE146" s="79"/>
      <c r="BF146" s="79"/>
      <c r="BG146" s="79"/>
      <c r="BH146" s="79"/>
    </row>
    <row r="147" spans="1:60" x14ac:dyDescent="0.25">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c r="BG147" s="79"/>
      <c r="BH147" s="79"/>
    </row>
    <row r="148" spans="1:60" x14ac:dyDescent="0.25">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row>
    <row r="149" spans="1:60" x14ac:dyDescent="0.25">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c r="BG149" s="79"/>
      <c r="BH149" s="79"/>
    </row>
    <row r="150" spans="1:60" x14ac:dyDescent="0.25">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c r="BG150" s="79"/>
      <c r="BH150" s="79"/>
    </row>
    <row r="151" spans="1:60" x14ac:dyDescent="0.25">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9"/>
      <c r="AP151" s="79"/>
      <c r="AQ151" s="79"/>
      <c r="AR151" s="79"/>
      <c r="AS151" s="79"/>
      <c r="AT151" s="79"/>
      <c r="AU151" s="79"/>
      <c r="AV151" s="79"/>
      <c r="AW151" s="79"/>
      <c r="AX151" s="79"/>
      <c r="AY151" s="79"/>
      <c r="AZ151" s="79"/>
      <c r="BA151" s="79"/>
      <c r="BB151" s="79"/>
      <c r="BC151" s="79"/>
      <c r="BD151" s="79"/>
      <c r="BE151" s="79"/>
      <c r="BF151" s="79"/>
      <c r="BG151" s="79"/>
      <c r="BH151" s="79"/>
    </row>
    <row r="152" spans="1:60" x14ac:dyDescent="0.25">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79"/>
      <c r="BH152" s="79"/>
    </row>
    <row r="153" spans="1:60" x14ac:dyDescent="0.25">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79"/>
      <c r="BH153" s="79"/>
    </row>
    <row r="154" spans="1:60" x14ac:dyDescent="0.25">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c r="AN154" s="79"/>
      <c r="AO154" s="79"/>
      <c r="AP154" s="79"/>
      <c r="AQ154" s="79"/>
      <c r="AR154" s="79"/>
      <c r="AS154" s="79"/>
      <c r="AT154" s="79"/>
      <c r="AU154" s="79"/>
      <c r="AV154" s="79"/>
      <c r="AW154" s="79"/>
      <c r="AX154" s="79"/>
      <c r="AY154" s="79"/>
      <c r="AZ154" s="79"/>
      <c r="BA154" s="79"/>
      <c r="BB154" s="79"/>
      <c r="BC154" s="79"/>
      <c r="BD154" s="79"/>
      <c r="BE154" s="79"/>
      <c r="BF154" s="79"/>
      <c r="BG154" s="79"/>
      <c r="BH154" s="79"/>
    </row>
    <row r="155" spans="1:60" x14ac:dyDescent="0.25">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c r="BG155" s="79"/>
      <c r="BH155" s="79"/>
    </row>
    <row r="156" spans="1:60" x14ac:dyDescent="0.25">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c r="AQ156" s="79"/>
      <c r="AR156" s="79"/>
      <c r="AS156" s="79"/>
      <c r="AT156" s="79"/>
      <c r="AU156" s="79"/>
      <c r="AV156" s="79"/>
      <c r="AW156" s="79"/>
      <c r="AX156" s="79"/>
      <c r="AY156" s="79"/>
      <c r="AZ156" s="79"/>
      <c r="BA156" s="79"/>
      <c r="BB156" s="79"/>
      <c r="BC156" s="79"/>
      <c r="BD156" s="79"/>
      <c r="BE156" s="79"/>
      <c r="BF156" s="79"/>
      <c r="BG156" s="79"/>
      <c r="BH156" s="79"/>
    </row>
    <row r="157" spans="1:60" x14ac:dyDescent="0.25">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c r="BG157" s="79"/>
      <c r="BH157" s="79"/>
    </row>
    <row r="158" spans="1:60" x14ac:dyDescent="0.25">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79"/>
      <c r="AI158" s="79"/>
      <c r="AJ158" s="79"/>
      <c r="AK158" s="79"/>
      <c r="AL158" s="79"/>
      <c r="AM158" s="79"/>
      <c r="AN158" s="79"/>
      <c r="AO158" s="79"/>
      <c r="AP158" s="79"/>
      <c r="AQ158" s="79"/>
      <c r="AR158" s="79"/>
      <c r="AS158" s="79"/>
      <c r="AT158" s="79"/>
      <c r="AU158" s="79"/>
      <c r="AV158" s="79"/>
      <c r="AW158" s="79"/>
      <c r="AX158" s="79"/>
      <c r="AY158" s="79"/>
      <c r="AZ158" s="79"/>
      <c r="BA158" s="79"/>
      <c r="BB158" s="79"/>
      <c r="BC158" s="79"/>
      <c r="BD158" s="79"/>
      <c r="BE158" s="79"/>
      <c r="BF158" s="79"/>
      <c r="BG158" s="79"/>
      <c r="BH158" s="79"/>
    </row>
    <row r="159" spans="1:60" x14ac:dyDescent="0.25">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row>
    <row r="160" spans="1:60" x14ac:dyDescent="0.25">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79"/>
      <c r="AM160" s="79"/>
      <c r="AN160" s="79"/>
      <c r="AO160" s="79"/>
      <c r="AP160" s="79"/>
      <c r="AQ160" s="79"/>
      <c r="AR160" s="79"/>
      <c r="AS160" s="79"/>
      <c r="AT160" s="79"/>
      <c r="AU160" s="79"/>
      <c r="AV160" s="79"/>
      <c r="AW160" s="79"/>
      <c r="AX160" s="79"/>
      <c r="AY160" s="79"/>
      <c r="AZ160" s="79"/>
      <c r="BA160" s="79"/>
      <c r="BB160" s="79"/>
      <c r="BC160" s="79"/>
      <c r="BD160" s="79"/>
      <c r="BE160" s="79"/>
      <c r="BF160" s="79"/>
      <c r="BG160" s="79"/>
      <c r="BH160" s="79"/>
    </row>
    <row r="161" spans="1:60" x14ac:dyDescent="0.25">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row>
    <row r="162" spans="1:60" x14ac:dyDescent="0.25">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79"/>
      <c r="AO162" s="79"/>
      <c r="AP162" s="79"/>
      <c r="AQ162" s="79"/>
      <c r="AR162" s="79"/>
      <c r="AS162" s="79"/>
      <c r="AT162" s="79"/>
      <c r="AU162" s="79"/>
      <c r="AV162" s="79"/>
      <c r="AW162" s="79"/>
      <c r="AX162" s="79"/>
      <c r="AY162" s="79"/>
      <c r="AZ162" s="79"/>
      <c r="BA162" s="79"/>
      <c r="BB162" s="79"/>
      <c r="BC162" s="79"/>
      <c r="BD162" s="79"/>
      <c r="BE162" s="79"/>
      <c r="BF162" s="79"/>
      <c r="BG162" s="79"/>
      <c r="BH162" s="79"/>
    </row>
    <row r="163" spans="1:60" x14ac:dyDescent="0.25">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79"/>
    </row>
    <row r="164" spans="1:60" x14ac:dyDescent="0.25">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c r="AO164" s="79"/>
      <c r="AP164" s="79"/>
      <c r="AQ164" s="79"/>
      <c r="AR164" s="79"/>
      <c r="AS164" s="79"/>
      <c r="AT164" s="79"/>
      <c r="AU164" s="79"/>
      <c r="AV164" s="79"/>
      <c r="AW164" s="79"/>
      <c r="AX164" s="79"/>
      <c r="AY164" s="79"/>
      <c r="AZ164" s="79"/>
      <c r="BA164" s="79"/>
      <c r="BB164" s="79"/>
      <c r="BC164" s="79"/>
      <c r="BD164" s="79"/>
      <c r="BE164" s="79"/>
      <c r="BF164" s="79"/>
      <c r="BG164" s="79"/>
      <c r="BH164" s="79"/>
    </row>
    <row r="165" spans="1:60" x14ac:dyDescent="0.25">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79"/>
      <c r="AL165" s="79"/>
      <c r="AM165" s="79"/>
      <c r="AN165" s="79"/>
      <c r="AO165" s="79"/>
      <c r="AP165" s="79"/>
      <c r="AQ165" s="79"/>
      <c r="AR165" s="79"/>
      <c r="AS165" s="79"/>
      <c r="AT165" s="79"/>
      <c r="AU165" s="79"/>
      <c r="AV165" s="79"/>
      <c r="AW165" s="79"/>
      <c r="AX165" s="79"/>
      <c r="AY165" s="79"/>
      <c r="AZ165" s="79"/>
      <c r="BA165" s="79"/>
      <c r="BB165" s="79"/>
      <c r="BC165" s="79"/>
      <c r="BD165" s="79"/>
      <c r="BE165" s="79"/>
      <c r="BF165" s="79"/>
      <c r="BG165" s="79"/>
      <c r="BH165" s="79"/>
    </row>
    <row r="166" spans="1:60" x14ac:dyDescent="0.25">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row>
    <row r="167" spans="1:60" x14ac:dyDescent="0.25">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c r="AB167" s="79"/>
      <c r="AC167" s="79"/>
      <c r="AD167" s="79"/>
      <c r="AE167" s="79"/>
      <c r="AF167" s="79"/>
      <c r="AG167" s="79"/>
      <c r="AH167" s="79"/>
      <c r="AI167" s="79"/>
      <c r="AJ167" s="79"/>
      <c r="AK167" s="79"/>
      <c r="AL167" s="79"/>
      <c r="AM167" s="79"/>
      <c r="AN167" s="79"/>
      <c r="AO167" s="79"/>
      <c r="AP167" s="79"/>
      <c r="AQ167" s="79"/>
      <c r="AR167" s="79"/>
      <c r="AS167" s="79"/>
      <c r="AT167" s="79"/>
      <c r="AU167" s="79"/>
      <c r="AV167" s="79"/>
      <c r="AW167" s="79"/>
      <c r="AX167" s="79"/>
      <c r="AY167" s="79"/>
      <c r="AZ167" s="79"/>
      <c r="BA167" s="79"/>
      <c r="BB167" s="79"/>
      <c r="BC167" s="79"/>
      <c r="BD167" s="79"/>
      <c r="BE167" s="79"/>
      <c r="BF167" s="79"/>
      <c r="BG167" s="79"/>
      <c r="BH167" s="79"/>
    </row>
    <row r="168" spans="1:60" x14ac:dyDescent="0.25">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c r="AN168" s="79"/>
      <c r="AO168" s="79"/>
      <c r="AP168" s="79"/>
      <c r="AQ168" s="79"/>
      <c r="AR168" s="79"/>
      <c r="AS168" s="79"/>
      <c r="AT168" s="79"/>
      <c r="AU168" s="79"/>
      <c r="AV168" s="79"/>
      <c r="AW168" s="79"/>
      <c r="AX168" s="79"/>
      <c r="AY168" s="79"/>
      <c r="AZ168" s="79"/>
      <c r="BA168" s="79"/>
      <c r="BB168" s="79"/>
      <c r="BC168" s="79"/>
      <c r="BD168" s="79"/>
      <c r="BE168" s="79"/>
      <c r="BF168" s="79"/>
      <c r="BG168" s="79"/>
      <c r="BH168" s="79"/>
    </row>
    <row r="169" spans="1:60" x14ac:dyDescent="0.25">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79"/>
      <c r="AK169" s="79"/>
      <c r="AL169" s="79"/>
      <c r="AM169" s="79"/>
      <c r="AN169" s="79"/>
      <c r="AO169" s="79"/>
      <c r="AP169" s="79"/>
      <c r="AQ169" s="79"/>
      <c r="AR169" s="79"/>
      <c r="AS169" s="79"/>
      <c r="AT169" s="79"/>
      <c r="AU169" s="79"/>
      <c r="AV169" s="79"/>
      <c r="AW169" s="79"/>
      <c r="AX169" s="79"/>
      <c r="AY169" s="79"/>
      <c r="AZ169" s="79"/>
      <c r="BA169" s="79"/>
      <c r="BB169" s="79"/>
      <c r="BC169" s="79"/>
      <c r="BD169" s="79"/>
      <c r="BE169" s="79"/>
      <c r="BF169" s="79"/>
      <c r="BG169" s="79"/>
      <c r="BH169" s="79"/>
    </row>
    <row r="170" spans="1:60" x14ac:dyDescent="0.25">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row>
    <row r="171" spans="1:60" x14ac:dyDescent="0.25">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c r="BG171" s="79"/>
      <c r="BH171" s="79"/>
    </row>
    <row r="172" spans="1:60" x14ac:dyDescent="0.25">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79"/>
      <c r="AO172" s="79"/>
      <c r="AP172" s="79"/>
      <c r="AQ172" s="79"/>
      <c r="AR172" s="79"/>
      <c r="AS172" s="79"/>
      <c r="AT172" s="79"/>
      <c r="AU172" s="79"/>
      <c r="AV172" s="79"/>
      <c r="AW172" s="79"/>
      <c r="AX172" s="79"/>
      <c r="AY172" s="79"/>
      <c r="AZ172" s="79"/>
      <c r="BA172" s="79"/>
      <c r="BB172" s="79"/>
      <c r="BC172" s="79"/>
      <c r="BD172" s="79"/>
      <c r="BE172" s="79"/>
      <c r="BF172" s="79"/>
      <c r="BG172" s="79"/>
      <c r="BH172" s="79"/>
    </row>
    <row r="173" spans="1:60" x14ac:dyDescent="0.25">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c r="AB173" s="79"/>
      <c r="AC173" s="79"/>
      <c r="AD173" s="79"/>
      <c r="AE173" s="79"/>
      <c r="AF173" s="79"/>
      <c r="AG173" s="79"/>
      <c r="AH173" s="79"/>
      <c r="AI173" s="79"/>
      <c r="AJ173" s="79"/>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c r="BH173" s="79"/>
    </row>
    <row r="174" spans="1:60" x14ac:dyDescent="0.25">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79"/>
      <c r="AN174" s="79"/>
      <c r="AO174" s="79"/>
      <c r="AP174" s="79"/>
      <c r="AQ174" s="79"/>
      <c r="AR174" s="79"/>
      <c r="AS174" s="79"/>
      <c r="AT174" s="79"/>
      <c r="AU174" s="79"/>
      <c r="AV174" s="79"/>
      <c r="AW174" s="79"/>
      <c r="AX174" s="79"/>
      <c r="AY174" s="79"/>
      <c r="AZ174" s="79"/>
      <c r="BA174" s="79"/>
      <c r="BB174" s="79"/>
      <c r="BC174" s="79"/>
      <c r="BD174" s="79"/>
      <c r="BE174" s="79"/>
      <c r="BF174" s="79"/>
      <c r="BG174" s="79"/>
      <c r="BH174" s="79"/>
    </row>
    <row r="175" spans="1:60" x14ac:dyDescent="0.25">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79"/>
      <c r="AO175" s="79"/>
      <c r="AP175" s="79"/>
      <c r="AQ175" s="79"/>
      <c r="AR175" s="79"/>
      <c r="AS175" s="79"/>
      <c r="AT175" s="79"/>
      <c r="AU175" s="79"/>
      <c r="AV175" s="79"/>
      <c r="AW175" s="79"/>
      <c r="AX175" s="79"/>
      <c r="AY175" s="79"/>
      <c r="AZ175" s="79"/>
      <c r="BA175" s="79"/>
      <c r="BB175" s="79"/>
      <c r="BC175" s="79"/>
      <c r="BD175" s="79"/>
      <c r="BE175" s="79"/>
      <c r="BF175" s="79"/>
      <c r="BG175" s="79"/>
      <c r="BH175" s="79"/>
    </row>
    <row r="176" spans="1:60" x14ac:dyDescent="0.25">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79"/>
      <c r="AJ176" s="79"/>
      <c r="AK176" s="79"/>
      <c r="AL176" s="79"/>
      <c r="AM176" s="79"/>
      <c r="AN176" s="79"/>
      <c r="AO176" s="79"/>
      <c r="AP176" s="79"/>
      <c r="AQ176" s="79"/>
      <c r="AR176" s="79"/>
      <c r="AS176" s="79"/>
      <c r="AT176" s="79"/>
      <c r="AU176" s="79"/>
      <c r="AV176" s="79"/>
      <c r="AW176" s="79"/>
      <c r="AX176" s="79"/>
      <c r="AY176" s="79"/>
      <c r="AZ176" s="79"/>
      <c r="BA176" s="79"/>
      <c r="BB176" s="79"/>
      <c r="BC176" s="79"/>
      <c r="BD176" s="79"/>
      <c r="BE176" s="79"/>
      <c r="BF176" s="79"/>
      <c r="BG176" s="79"/>
      <c r="BH176" s="79"/>
    </row>
    <row r="177" spans="1:60" x14ac:dyDescent="0.25">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c r="AB177" s="79"/>
      <c r="AC177" s="79"/>
      <c r="AD177" s="79"/>
      <c r="AE177" s="79"/>
      <c r="AF177" s="79"/>
      <c r="AG177" s="79"/>
      <c r="AH177" s="79"/>
      <c r="AI177" s="79"/>
      <c r="AJ177" s="79"/>
      <c r="AK177" s="79"/>
      <c r="AL177" s="79"/>
      <c r="AM177" s="79"/>
      <c r="AN177" s="79"/>
      <c r="AO177" s="79"/>
      <c r="AP177" s="79"/>
      <c r="AQ177" s="79"/>
      <c r="AR177" s="79"/>
      <c r="AS177" s="79"/>
      <c r="AT177" s="79"/>
      <c r="AU177" s="79"/>
      <c r="AV177" s="79"/>
      <c r="AW177" s="79"/>
      <c r="AX177" s="79"/>
      <c r="AY177" s="79"/>
      <c r="AZ177" s="79"/>
      <c r="BA177" s="79"/>
      <c r="BB177" s="79"/>
      <c r="BC177" s="79"/>
      <c r="BD177" s="79"/>
      <c r="BE177" s="79"/>
      <c r="BF177" s="79"/>
      <c r="BG177" s="79"/>
      <c r="BH177" s="79"/>
    </row>
    <row r="178" spans="1:60" x14ac:dyDescent="0.25">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c r="AB178" s="79"/>
      <c r="AC178" s="79"/>
      <c r="AD178" s="79"/>
      <c r="AE178" s="79"/>
      <c r="AF178" s="79"/>
      <c r="AG178" s="79"/>
      <c r="AH178" s="79"/>
      <c r="AI178" s="79"/>
      <c r="AJ178" s="79"/>
      <c r="AK178" s="79"/>
      <c r="AL178" s="79"/>
      <c r="AM178" s="79"/>
      <c r="AN178" s="79"/>
      <c r="AO178" s="79"/>
      <c r="AP178" s="79"/>
      <c r="AQ178" s="79"/>
      <c r="AR178" s="79"/>
      <c r="AS178" s="79"/>
      <c r="AT178" s="79"/>
      <c r="AU178" s="79"/>
      <c r="AV178" s="79"/>
      <c r="AW178" s="79"/>
      <c r="AX178" s="79"/>
      <c r="AY178" s="79"/>
      <c r="AZ178" s="79"/>
      <c r="BA178" s="79"/>
      <c r="BB178" s="79"/>
      <c r="BC178" s="79"/>
      <c r="BD178" s="79"/>
      <c r="BE178" s="79"/>
      <c r="BF178" s="79"/>
      <c r="BG178" s="79"/>
      <c r="BH178" s="79"/>
    </row>
    <row r="179" spans="1:60" x14ac:dyDescent="0.25">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79"/>
      <c r="AO179" s="79"/>
      <c r="AP179" s="79"/>
      <c r="AQ179" s="79"/>
      <c r="AR179" s="79"/>
      <c r="AS179" s="79"/>
      <c r="AT179" s="79"/>
      <c r="AU179" s="79"/>
      <c r="AV179" s="79"/>
      <c r="AW179" s="79"/>
      <c r="AX179" s="79"/>
      <c r="AY179" s="79"/>
      <c r="AZ179" s="79"/>
      <c r="BA179" s="79"/>
      <c r="BB179" s="79"/>
      <c r="BC179" s="79"/>
      <c r="BD179" s="79"/>
      <c r="BE179" s="79"/>
      <c r="BF179" s="79"/>
      <c r="BG179" s="79"/>
      <c r="BH179" s="79"/>
    </row>
    <row r="180" spans="1:60" x14ac:dyDescent="0.25">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c r="AC180" s="79"/>
      <c r="AD180" s="79"/>
      <c r="AE180" s="79"/>
      <c r="AF180" s="79"/>
      <c r="AG180" s="79"/>
      <c r="AH180" s="79"/>
      <c r="AI180" s="79"/>
      <c r="AJ180" s="79"/>
      <c r="AK180" s="79"/>
      <c r="AL180" s="79"/>
      <c r="AM180" s="79"/>
      <c r="AN180" s="79"/>
      <c r="AO180" s="79"/>
      <c r="AP180" s="79"/>
      <c r="AQ180" s="79"/>
      <c r="AR180" s="79"/>
      <c r="AS180" s="79"/>
      <c r="AT180" s="79"/>
      <c r="AU180" s="79"/>
      <c r="AV180" s="79"/>
      <c r="AW180" s="79"/>
      <c r="AX180" s="79"/>
      <c r="AY180" s="79"/>
      <c r="AZ180" s="79"/>
      <c r="BA180" s="79"/>
      <c r="BB180" s="79"/>
      <c r="BC180" s="79"/>
      <c r="BD180" s="79"/>
      <c r="BE180" s="79"/>
      <c r="BF180" s="79"/>
      <c r="BG180" s="79"/>
      <c r="BH180" s="79"/>
    </row>
    <row r="181" spans="1:60" x14ac:dyDescent="0.25">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c r="BG181" s="79"/>
      <c r="BH181" s="79"/>
    </row>
    <row r="182" spans="1:60" x14ac:dyDescent="0.25">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c r="AB182" s="79"/>
      <c r="AC182" s="79"/>
      <c r="AD182" s="79"/>
      <c r="AE182" s="79"/>
      <c r="AF182" s="79"/>
      <c r="AG182" s="79"/>
      <c r="AH182" s="79"/>
      <c r="AI182" s="79"/>
      <c r="AJ182" s="79"/>
      <c r="AK182" s="79"/>
      <c r="AL182" s="79"/>
      <c r="AM182" s="79"/>
      <c r="AN182" s="79"/>
      <c r="AO182" s="79"/>
      <c r="AP182" s="79"/>
      <c r="AQ182" s="79"/>
      <c r="AR182" s="79"/>
      <c r="AS182" s="79"/>
      <c r="AT182" s="79"/>
      <c r="AU182" s="79"/>
      <c r="AV182" s="79"/>
      <c r="AW182" s="79"/>
      <c r="AX182" s="79"/>
      <c r="AY182" s="79"/>
      <c r="AZ182" s="79"/>
      <c r="BA182" s="79"/>
      <c r="BB182" s="79"/>
      <c r="BC182" s="79"/>
      <c r="BD182" s="79"/>
      <c r="BE182" s="79"/>
      <c r="BF182" s="79"/>
      <c r="BG182" s="79"/>
      <c r="BH182" s="79"/>
    </row>
    <row r="183" spans="1:60" x14ac:dyDescent="0.25">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c r="BG183" s="79"/>
      <c r="BH183" s="79"/>
    </row>
    <row r="184" spans="1:60" x14ac:dyDescent="0.25">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c r="AB184" s="79"/>
      <c r="AC184" s="79"/>
      <c r="AD184" s="79"/>
      <c r="AE184" s="79"/>
      <c r="AF184" s="79"/>
      <c r="AG184" s="79"/>
      <c r="AH184" s="79"/>
      <c r="AI184" s="79"/>
      <c r="AJ184" s="79"/>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c r="BG184" s="79"/>
      <c r="BH184" s="79"/>
    </row>
    <row r="185" spans="1:60" x14ac:dyDescent="0.25">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c r="BG185" s="79"/>
      <c r="BH185" s="79"/>
    </row>
    <row r="186" spans="1:60" x14ac:dyDescent="0.25">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c r="AB186" s="79"/>
      <c r="AC186" s="79"/>
      <c r="AD186" s="79"/>
      <c r="AE186" s="79"/>
      <c r="AF186" s="79"/>
      <c r="AG186" s="79"/>
      <c r="AH186" s="79"/>
      <c r="AI186" s="79"/>
      <c r="AJ186" s="79"/>
      <c r="AK186" s="79"/>
      <c r="AL186" s="79"/>
      <c r="AM186" s="79"/>
      <c r="AN186" s="79"/>
      <c r="AO186" s="79"/>
      <c r="AP186" s="79"/>
      <c r="AQ186" s="79"/>
      <c r="AR186" s="79"/>
      <c r="AS186" s="79"/>
      <c r="AT186" s="79"/>
      <c r="AU186" s="79"/>
      <c r="AV186" s="79"/>
      <c r="AW186" s="79"/>
      <c r="AX186" s="79"/>
      <c r="AY186" s="79"/>
      <c r="AZ186" s="79"/>
      <c r="BA186" s="79"/>
      <c r="BB186" s="79"/>
      <c r="BC186" s="79"/>
      <c r="BD186" s="79"/>
      <c r="BE186" s="79"/>
      <c r="BF186" s="79"/>
      <c r="BG186" s="79"/>
      <c r="BH186" s="79"/>
    </row>
    <row r="187" spans="1:60" x14ac:dyDescent="0.25">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79"/>
      <c r="AG187" s="79"/>
      <c r="AH187" s="79"/>
      <c r="AI187" s="79"/>
      <c r="AJ187" s="79"/>
      <c r="AK187" s="79"/>
      <c r="AL187" s="79"/>
      <c r="AM187" s="79"/>
      <c r="AN187" s="79"/>
      <c r="AO187" s="79"/>
      <c r="AP187" s="79"/>
      <c r="AQ187" s="79"/>
      <c r="AR187" s="79"/>
      <c r="AS187" s="79"/>
      <c r="AT187" s="79"/>
      <c r="AU187" s="79"/>
      <c r="AV187" s="79"/>
      <c r="AW187" s="79"/>
      <c r="AX187" s="79"/>
      <c r="AY187" s="79"/>
      <c r="AZ187" s="79"/>
      <c r="BA187" s="79"/>
      <c r="BB187" s="79"/>
      <c r="BC187" s="79"/>
      <c r="BD187" s="79"/>
      <c r="BE187" s="79"/>
      <c r="BF187" s="79"/>
      <c r="BG187" s="79"/>
      <c r="BH187" s="79"/>
    </row>
    <row r="188" spans="1:60" x14ac:dyDescent="0.25">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c r="BG188" s="79"/>
      <c r="BH188" s="79"/>
    </row>
    <row r="189" spans="1:60" x14ac:dyDescent="0.25">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79"/>
    </row>
    <row r="190" spans="1:60" x14ac:dyDescent="0.25">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c r="AB190" s="79"/>
      <c r="AC190" s="79"/>
      <c r="AD190" s="79"/>
      <c r="AE190" s="79"/>
      <c r="AF190" s="79"/>
      <c r="AG190" s="79"/>
      <c r="AH190" s="79"/>
      <c r="AI190" s="79"/>
      <c r="AJ190" s="79"/>
      <c r="AK190" s="79"/>
      <c r="AL190" s="79"/>
      <c r="AM190" s="79"/>
      <c r="AN190" s="79"/>
      <c r="AO190" s="79"/>
      <c r="AP190" s="79"/>
      <c r="AQ190" s="79"/>
      <c r="AR190" s="79"/>
      <c r="AS190" s="79"/>
      <c r="AT190" s="79"/>
      <c r="AU190" s="79"/>
      <c r="AV190" s="79"/>
      <c r="AW190" s="79"/>
      <c r="AX190" s="79"/>
      <c r="AY190" s="79"/>
      <c r="AZ190" s="79"/>
      <c r="BA190" s="79"/>
      <c r="BB190" s="79"/>
      <c r="BC190" s="79"/>
      <c r="BD190" s="79"/>
      <c r="BE190" s="79"/>
      <c r="BF190" s="79"/>
      <c r="BG190" s="79"/>
      <c r="BH190" s="79"/>
    </row>
    <row r="191" spans="1:60" x14ac:dyDescent="0.25">
      <c r="A191" s="79"/>
      <c r="J191" s="79"/>
      <c r="K191" s="79"/>
      <c r="L191" s="79"/>
      <c r="M191" s="79"/>
      <c r="N191" s="79"/>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79"/>
      <c r="AL191" s="79"/>
      <c r="AM191" s="79"/>
      <c r="AN191" s="79"/>
      <c r="AO191" s="79"/>
      <c r="AP191" s="79"/>
      <c r="AQ191" s="79"/>
      <c r="AR191" s="79"/>
      <c r="AS191" s="79"/>
      <c r="AT191" s="79"/>
      <c r="AU191" s="79"/>
      <c r="AV191" s="79"/>
      <c r="AW191" s="79"/>
      <c r="AX191" s="79"/>
      <c r="AY191" s="79"/>
      <c r="AZ191" s="79"/>
      <c r="BA191" s="79"/>
      <c r="BB191" s="79"/>
      <c r="BC191" s="79"/>
      <c r="BD191" s="79"/>
      <c r="BE191" s="79"/>
      <c r="BF191" s="79"/>
      <c r="BG191" s="79"/>
      <c r="BH191" s="79"/>
    </row>
    <row r="192" spans="1:60" x14ac:dyDescent="0.25">
      <c r="A192" s="79"/>
      <c r="J192" s="79"/>
      <c r="K192" s="79"/>
      <c r="L192" s="79"/>
      <c r="M192" s="79"/>
      <c r="N192" s="79"/>
      <c r="O192" s="79"/>
      <c r="P192" s="79"/>
      <c r="Q192" s="79"/>
      <c r="R192" s="79"/>
      <c r="S192" s="79"/>
      <c r="T192" s="79"/>
      <c r="U192" s="79"/>
      <c r="V192" s="79"/>
      <c r="W192" s="79"/>
      <c r="X192" s="79"/>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c r="BG192" s="79"/>
      <c r="BH192" s="79"/>
    </row>
    <row r="193" spans="1:60" x14ac:dyDescent="0.25">
      <c r="A193" s="79"/>
      <c r="J193" s="79"/>
      <c r="K193" s="79"/>
      <c r="L193" s="79"/>
      <c r="M193" s="79"/>
      <c r="N193" s="79"/>
      <c r="O193" s="79"/>
      <c r="P193" s="79"/>
      <c r="Q193" s="79"/>
      <c r="R193" s="79"/>
      <c r="S193" s="79"/>
      <c r="T193" s="79"/>
      <c r="U193" s="79"/>
      <c r="V193" s="79"/>
      <c r="W193" s="79"/>
      <c r="X193" s="79"/>
      <c r="Y193" s="79"/>
      <c r="Z193" s="79"/>
      <c r="AA193" s="79"/>
      <c r="AB193" s="79"/>
      <c r="AC193" s="79"/>
      <c r="AD193" s="79"/>
      <c r="AE193" s="79"/>
      <c r="AF193" s="79"/>
      <c r="AG193" s="79"/>
      <c r="AH193" s="79"/>
      <c r="AI193" s="79"/>
      <c r="AJ193" s="79"/>
      <c r="AK193" s="79"/>
      <c r="AL193" s="79"/>
      <c r="AM193" s="79"/>
      <c r="AN193" s="79"/>
      <c r="AO193" s="79"/>
      <c r="AP193" s="79"/>
      <c r="AQ193" s="79"/>
      <c r="AR193" s="79"/>
      <c r="AS193" s="79"/>
      <c r="AT193" s="79"/>
      <c r="AU193" s="79"/>
      <c r="AV193" s="79"/>
      <c r="AW193" s="79"/>
      <c r="AX193" s="79"/>
      <c r="AY193" s="79"/>
      <c r="AZ193" s="79"/>
      <c r="BA193" s="79"/>
      <c r="BB193" s="79"/>
      <c r="BC193" s="79"/>
      <c r="BD193" s="79"/>
      <c r="BE193" s="79"/>
      <c r="BF193" s="79"/>
      <c r="BG193" s="79"/>
      <c r="BH193" s="79"/>
    </row>
    <row r="194" spans="1:60" x14ac:dyDescent="0.25">
      <c r="A194" s="79"/>
      <c r="J194" s="79"/>
      <c r="K194" s="79"/>
      <c r="L194" s="79"/>
      <c r="M194" s="79"/>
      <c r="N194" s="79"/>
      <c r="O194" s="79"/>
      <c r="P194" s="79"/>
      <c r="Q194" s="79"/>
      <c r="R194" s="79"/>
      <c r="S194" s="79"/>
      <c r="T194" s="79"/>
      <c r="U194" s="79"/>
      <c r="V194" s="79"/>
      <c r="W194" s="79"/>
      <c r="X194" s="79"/>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c r="BG194" s="79"/>
      <c r="BH194" s="79"/>
    </row>
    <row r="195" spans="1:60" x14ac:dyDescent="0.25">
      <c r="A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c r="BG195" s="79"/>
      <c r="BH195" s="79"/>
    </row>
    <row r="196" spans="1:60" x14ac:dyDescent="0.25">
      <c r="A196" s="79"/>
      <c r="J196" s="79"/>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c r="BG196" s="79"/>
      <c r="BH196" s="79"/>
    </row>
    <row r="197" spans="1:60" x14ac:dyDescent="0.25">
      <c r="A197" s="79"/>
      <c r="J197" s="79"/>
      <c r="K197" s="79"/>
      <c r="L197" s="79"/>
      <c r="M197" s="79"/>
      <c r="N197" s="79"/>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79"/>
      <c r="AM197" s="79"/>
      <c r="AN197" s="79"/>
      <c r="AO197" s="79"/>
      <c r="AP197" s="79"/>
      <c r="AQ197" s="79"/>
      <c r="AR197" s="79"/>
      <c r="AS197" s="79"/>
      <c r="AT197" s="79"/>
      <c r="AU197" s="79"/>
      <c r="AV197" s="79"/>
      <c r="AW197" s="79"/>
      <c r="AX197" s="79"/>
      <c r="AY197" s="79"/>
      <c r="AZ197" s="79"/>
      <c r="BA197" s="79"/>
      <c r="BB197" s="79"/>
      <c r="BC197" s="79"/>
      <c r="BD197" s="79"/>
      <c r="BE197" s="79"/>
      <c r="BF197" s="79"/>
      <c r="BG197" s="79"/>
      <c r="BH197" s="79"/>
    </row>
    <row r="198" spans="1:60" x14ac:dyDescent="0.25">
      <c r="A198" s="79"/>
      <c r="J198" s="79"/>
      <c r="K198" s="79"/>
      <c r="L198" s="79"/>
      <c r="M198" s="79"/>
      <c r="N198" s="79"/>
      <c r="O198" s="79"/>
      <c r="P198" s="79"/>
      <c r="Q198" s="79"/>
      <c r="R198" s="79"/>
      <c r="S198" s="79"/>
      <c r="T198" s="79"/>
      <c r="U198" s="79"/>
      <c r="V198" s="79"/>
      <c r="W198" s="79"/>
      <c r="X198" s="79"/>
      <c r="Y198" s="79"/>
      <c r="Z198" s="79"/>
      <c r="AA198" s="79"/>
      <c r="AB198" s="79"/>
      <c r="AC198" s="79"/>
      <c r="AD198" s="79"/>
      <c r="AE198" s="79"/>
      <c r="AF198" s="79"/>
      <c r="AG198" s="79"/>
      <c r="AH198" s="79"/>
      <c r="AI198" s="79"/>
      <c r="AJ198" s="79"/>
      <c r="AK198" s="79"/>
      <c r="AL198" s="79"/>
      <c r="AM198" s="79"/>
      <c r="AN198" s="79"/>
      <c r="AO198" s="79"/>
      <c r="AP198" s="79"/>
      <c r="AQ198" s="79"/>
      <c r="AR198" s="79"/>
      <c r="AS198" s="79"/>
      <c r="AT198" s="79"/>
      <c r="AU198" s="79"/>
      <c r="AV198" s="79"/>
      <c r="AW198" s="79"/>
      <c r="AX198" s="79"/>
      <c r="AY198" s="79"/>
      <c r="AZ198" s="79"/>
      <c r="BA198" s="79"/>
      <c r="BB198" s="79"/>
      <c r="BC198" s="79"/>
      <c r="BD198" s="79"/>
      <c r="BE198" s="79"/>
      <c r="BF198" s="79"/>
      <c r="BG198" s="79"/>
      <c r="BH198" s="79"/>
    </row>
    <row r="199" spans="1:60" x14ac:dyDescent="0.25">
      <c r="A199" s="79"/>
      <c r="J199" s="79"/>
      <c r="K199" s="79"/>
      <c r="L199" s="79"/>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79"/>
      <c r="AJ199" s="79"/>
      <c r="AK199" s="79"/>
      <c r="AL199" s="79"/>
      <c r="AM199" s="79"/>
      <c r="AN199" s="79"/>
      <c r="AO199" s="79"/>
      <c r="AP199" s="79"/>
      <c r="AQ199" s="79"/>
      <c r="AR199" s="79"/>
      <c r="AS199" s="79"/>
      <c r="AT199" s="79"/>
      <c r="AU199" s="79"/>
      <c r="AV199" s="79"/>
      <c r="AW199" s="79"/>
      <c r="AX199" s="79"/>
      <c r="AY199" s="79"/>
      <c r="AZ199" s="79"/>
      <c r="BA199" s="79"/>
      <c r="BB199" s="79"/>
      <c r="BC199" s="79"/>
      <c r="BD199" s="79"/>
      <c r="BE199" s="79"/>
      <c r="BF199" s="79"/>
      <c r="BG199" s="79"/>
      <c r="BH199" s="79"/>
    </row>
    <row r="200" spans="1:60" x14ac:dyDescent="0.25">
      <c r="A200" s="79"/>
      <c r="J200" s="79"/>
      <c r="K200" s="79"/>
      <c r="L200" s="79"/>
      <c r="M200" s="79"/>
      <c r="N200" s="79"/>
      <c r="O200" s="79"/>
      <c r="P200" s="79"/>
      <c r="Q200" s="79"/>
      <c r="R200" s="79"/>
      <c r="S200" s="79"/>
      <c r="T200" s="79"/>
      <c r="U200" s="79"/>
      <c r="V200" s="79"/>
      <c r="W200" s="79"/>
      <c r="X200" s="79"/>
      <c r="Y200" s="79"/>
      <c r="Z200" s="79"/>
      <c r="AA200" s="79"/>
      <c r="AB200" s="79"/>
      <c r="AC200" s="79"/>
      <c r="AD200" s="79"/>
      <c r="AE200" s="79"/>
      <c r="AF200" s="79"/>
      <c r="AG200" s="79"/>
      <c r="AH200" s="79"/>
      <c r="AI200" s="79"/>
      <c r="AJ200" s="79"/>
      <c r="AK200" s="79"/>
      <c r="AL200" s="79"/>
      <c r="AM200" s="79"/>
      <c r="AN200" s="79"/>
      <c r="AO200" s="79"/>
      <c r="AP200" s="79"/>
      <c r="AQ200" s="79"/>
      <c r="AR200" s="79"/>
      <c r="AS200" s="79"/>
      <c r="AT200" s="79"/>
      <c r="AU200" s="79"/>
      <c r="AV200" s="79"/>
      <c r="AW200" s="79"/>
      <c r="AX200" s="79"/>
      <c r="AY200" s="79"/>
      <c r="AZ200" s="79"/>
      <c r="BA200" s="79"/>
      <c r="BB200" s="79"/>
      <c r="BC200" s="79"/>
      <c r="BD200" s="79"/>
      <c r="BE200" s="79"/>
      <c r="BF200" s="79"/>
      <c r="BG200" s="79"/>
      <c r="BH200" s="79"/>
    </row>
    <row r="201" spans="1:60" x14ac:dyDescent="0.25">
      <c r="A201" s="79"/>
      <c r="J201" s="79"/>
      <c r="K201" s="79"/>
      <c r="L201" s="79"/>
      <c r="M201" s="79"/>
      <c r="N201" s="79"/>
      <c r="O201" s="79"/>
      <c r="P201" s="79"/>
      <c r="Q201" s="79"/>
      <c r="R201" s="79"/>
      <c r="S201" s="79"/>
      <c r="T201" s="79"/>
      <c r="U201" s="79"/>
      <c r="V201" s="79"/>
      <c r="W201" s="79"/>
      <c r="X201" s="79"/>
      <c r="Y201" s="79"/>
      <c r="Z201" s="79"/>
      <c r="AA201" s="79"/>
      <c r="AB201" s="79"/>
      <c r="AC201" s="79"/>
      <c r="AD201" s="79"/>
      <c r="AE201" s="79"/>
      <c r="AF201" s="79"/>
      <c r="AG201" s="79"/>
      <c r="AH201" s="79"/>
      <c r="AI201" s="79"/>
      <c r="AJ201" s="79"/>
      <c r="AK201" s="79"/>
      <c r="AL201" s="79"/>
      <c r="AM201" s="79"/>
      <c r="AN201" s="79"/>
      <c r="AO201" s="79"/>
      <c r="AP201" s="79"/>
      <c r="AQ201" s="79"/>
      <c r="AR201" s="79"/>
      <c r="AS201" s="79"/>
      <c r="AT201" s="79"/>
      <c r="AU201" s="79"/>
      <c r="AV201" s="79"/>
      <c r="AW201" s="79"/>
      <c r="AX201" s="79"/>
      <c r="AY201" s="79"/>
      <c r="AZ201" s="79"/>
      <c r="BA201" s="79"/>
      <c r="BB201" s="79"/>
      <c r="BC201" s="79"/>
      <c r="BD201" s="79"/>
      <c r="BE201" s="79"/>
      <c r="BF201" s="79"/>
      <c r="BG201" s="79"/>
      <c r="BH201" s="79"/>
    </row>
    <row r="202" spans="1:60" x14ac:dyDescent="0.25">
      <c r="A202" s="79"/>
      <c r="J202" s="79"/>
      <c r="K202" s="79"/>
      <c r="L202" s="79"/>
      <c r="M202" s="79"/>
      <c r="N202" s="79"/>
      <c r="O202" s="79"/>
      <c r="P202" s="79"/>
      <c r="Q202" s="79"/>
      <c r="R202" s="79"/>
      <c r="S202" s="79"/>
      <c r="T202" s="79"/>
      <c r="U202" s="79"/>
      <c r="V202" s="79"/>
      <c r="W202" s="79"/>
      <c r="X202" s="79"/>
      <c r="Y202" s="79"/>
      <c r="Z202" s="79"/>
      <c r="AA202" s="79"/>
      <c r="AB202" s="79"/>
      <c r="AC202" s="79"/>
      <c r="AD202" s="79"/>
      <c r="AE202" s="79"/>
      <c r="AF202" s="79"/>
      <c r="AG202" s="79"/>
      <c r="AH202" s="79"/>
      <c r="AI202" s="79"/>
      <c r="AJ202" s="79"/>
      <c r="AK202" s="79"/>
      <c r="AL202" s="79"/>
      <c r="AM202" s="79"/>
      <c r="AN202" s="79"/>
      <c r="AO202" s="79"/>
      <c r="AP202" s="79"/>
      <c r="AQ202" s="79"/>
      <c r="AR202" s="79"/>
      <c r="AS202" s="79"/>
      <c r="AT202" s="79"/>
      <c r="AU202" s="79"/>
      <c r="AV202" s="79"/>
      <c r="AW202" s="79"/>
      <c r="AX202" s="79"/>
      <c r="AY202" s="79"/>
      <c r="AZ202" s="79"/>
      <c r="BA202" s="79"/>
      <c r="BB202" s="79"/>
      <c r="BC202" s="79"/>
      <c r="BD202" s="79"/>
      <c r="BE202" s="79"/>
      <c r="BF202" s="79"/>
      <c r="BG202" s="79"/>
      <c r="BH202" s="79"/>
    </row>
    <row r="203" spans="1:60" x14ac:dyDescent="0.25">
      <c r="A203" s="79"/>
      <c r="J203" s="79"/>
      <c r="K203" s="79"/>
      <c r="L203" s="79"/>
      <c r="M203" s="79"/>
      <c r="N203" s="79"/>
      <c r="O203" s="79"/>
      <c r="P203" s="79"/>
      <c r="Q203" s="79"/>
      <c r="R203" s="79"/>
      <c r="S203" s="79"/>
      <c r="T203" s="79"/>
      <c r="U203" s="79"/>
      <c r="V203" s="79"/>
      <c r="W203" s="79"/>
      <c r="X203" s="79"/>
      <c r="Y203" s="79"/>
      <c r="Z203" s="79"/>
      <c r="AA203" s="79"/>
      <c r="AB203" s="79"/>
      <c r="AC203" s="79"/>
      <c r="AD203" s="79"/>
      <c r="AE203" s="79"/>
      <c r="AF203" s="79"/>
      <c r="AG203" s="79"/>
      <c r="AH203" s="79"/>
      <c r="AI203" s="79"/>
      <c r="AJ203" s="79"/>
      <c r="AK203" s="79"/>
      <c r="AL203" s="79"/>
      <c r="AM203" s="79"/>
      <c r="AN203" s="79"/>
      <c r="AO203" s="79"/>
      <c r="AP203" s="79"/>
      <c r="AQ203" s="79"/>
      <c r="AR203" s="79"/>
      <c r="AS203" s="79"/>
      <c r="AT203" s="79"/>
      <c r="AU203" s="79"/>
      <c r="AV203" s="79"/>
      <c r="AW203" s="79"/>
      <c r="AX203" s="79"/>
      <c r="AY203" s="79"/>
      <c r="AZ203" s="79"/>
      <c r="BA203" s="79"/>
      <c r="BB203" s="79"/>
      <c r="BC203" s="79"/>
      <c r="BD203" s="79"/>
      <c r="BE203" s="79"/>
      <c r="BF203" s="79"/>
      <c r="BG203" s="79"/>
      <c r="BH203" s="79"/>
    </row>
    <row r="204" spans="1:60" x14ac:dyDescent="0.25">
      <c r="A204" s="79"/>
      <c r="J204" s="79"/>
      <c r="K204" s="79"/>
      <c r="L204" s="79"/>
      <c r="M204" s="79"/>
      <c r="N204" s="79"/>
      <c r="O204" s="79"/>
      <c r="P204" s="79"/>
      <c r="Q204" s="79"/>
      <c r="R204" s="79"/>
      <c r="S204" s="79"/>
      <c r="T204" s="79"/>
      <c r="U204" s="79"/>
      <c r="V204" s="79"/>
      <c r="W204" s="79"/>
      <c r="X204" s="79"/>
      <c r="Y204" s="79"/>
      <c r="Z204" s="79"/>
      <c r="AA204" s="79"/>
      <c r="AB204" s="79"/>
      <c r="AC204" s="79"/>
      <c r="AD204" s="79"/>
      <c r="AE204" s="79"/>
      <c r="AF204" s="79"/>
      <c r="AG204" s="79"/>
      <c r="AH204" s="79"/>
      <c r="AI204" s="79"/>
      <c r="AJ204" s="79"/>
      <c r="AK204" s="79"/>
      <c r="AL204" s="79"/>
      <c r="AM204" s="79"/>
      <c r="AN204" s="79"/>
      <c r="AO204" s="79"/>
      <c r="AP204" s="79"/>
      <c r="AQ204" s="79"/>
      <c r="AR204" s="79"/>
      <c r="AS204" s="79"/>
      <c r="AT204" s="79"/>
      <c r="AU204" s="79"/>
      <c r="AV204" s="79"/>
      <c r="AW204" s="79"/>
      <c r="AX204" s="79"/>
      <c r="AY204" s="79"/>
      <c r="AZ204" s="79"/>
      <c r="BA204" s="79"/>
      <c r="BB204" s="79"/>
      <c r="BC204" s="79"/>
      <c r="BD204" s="79"/>
      <c r="BE204" s="79"/>
      <c r="BF204" s="79"/>
      <c r="BG204" s="79"/>
      <c r="BH204" s="79"/>
    </row>
    <row r="205" spans="1:60" x14ac:dyDescent="0.25">
      <c r="A205" s="79"/>
      <c r="J205" s="79"/>
      <c r="K205" s="79"/>
      <c r="L205" s="79"/>
      <c r="M205" s="79"/>
      <c r="N205" s="79"/>
      <c r="O205" s="79"/>
      <c r="P205" s="79"/>
      <c r="Q205" s="79"/>
      <c r="R205" s="79"/>
      <c r="S205" s="79"/>
      <c r="T205" s="79"/>
      <c r="U205" s="79"/>
      <c r="V205" s="79"/>
      <c r="W205" s="79"/>
      <c r="X205" s="79"/>
      <c r="Y205" s="79"/>
      <c r="Z205" s="79"/>
      <c r="AA205" s="79"/>
      <c r="AB205" s="79"/>
      <c r="AC205" s="79"/>
      <c r="AD205" s="79"/>
      <c r="AE205" s="79"/>
      <c r="AF205" s="79"/>
      <c r="AG205" s="79"/>
      <c r="AH205" s="79"/>
      <c r="AI205" s="79"/>
      <c r="AJ205" s="79"/>
      <c r="AK205" s="79"/>
      <c r="AL205" s="79"/>
      <c r="AM205" s="79"/>
      <c r="AN205" s="79"/>
      <c r="AO205" s="79"/>
      <c r="AP205" s="79"/>
      <c r="AQ205" s="79"/>
      <c r="AR205" s="79"/>
      <c r="AS205" s="79"/>
      <c r="AT205" s="79"/>
      <c r="AU205" s="79"/>
      <c r="AV205" s="79"/>
      <c r="AW205" s="79"/>
      <c r="AX205" s="79"/>
      <c r="AY205" s="79"/>
      <c r="AZ205" s="79"/>
      <c r="BA205" s="79"/>
      <c r="BB205" s="79"/>
      <c r="BC205" s="79"/>
      <c r="BD205" s="79"/>
      <c r="BE205" s="79"/>
      <c r="BF205" s="79"/>
      <c r="BG205" s="79"/>
      <c r="BH205" s="79"/>
    </row>
    <row r="206" spans="1:60" x14ac:dyDescent="0.25">
      <c r="A206" s="79"/>
      <c r="J206" s="79"/>
      <c r="K206" s="79"/>
      <c r="L206" s="79"/>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79"/>
      <c r="AK206" s="79"/>
      <c r="AL206" s="79"/>
      <c r="AM206" s="79"/>
      <c r="AN206" s="79"/>
      <c r="AO206" s="79"/>
      <c r="AP206" s="79"/>
      <c r="AQ206" s="79"/>
      <c r="AR206" s="79"/>
      <c r="AS206" s="79"/>
      <c r="AT206" s="79"/>
      <c r="AU206" s="79"/>
      <c r="AV206" s="79"/>
      <c r="AW206" s="79"/>
      <c r="AX206" s="79"/>
      <c r="AY206" s="79"/>
      <c r="AZ206" s="79"/>
      <c r="BA206" s="79"/>
      <c r="BB206" s="79"/>
      <c r="BC206" s="79"/>
      <c r="BD206" s="79"/>
      <c r="BE206" s="79"/>
      <c r="BF206" s="79"/>
      <c r="BG206" s="79"/>
      <c r="BH206" s="79"/>
    </row>
    <row r="207" spans="1:60" x14ac:dyDescent="0.25">
      <c r="A207" s="79"/>
      <c r="J207" s="79"/>
      <c r="K207" s="79"/>
      <c r="L207" s="79"/>
      <c r="M207" s="79"/>
      <c r="N207" s="79"/>
      <c r="O207" s="79"/>
      <c r="P207" s="79"/>
      <c r="Q207" s="79"/>
      <c r="R207" s="79"/>
      <c r="S207" s="79"/>
      <c r="T207" s="79"/>
      <c r="U207" s="79"/>
      <c r="V207" s="79"/>
      <c r="W207" s="79"/>
      <c r="X207" s="79"/>
      <c r="Y207" s="79"/>
      <c r="Z207" s="79"/>
      <c r="AA207" s="79"/>
      <c r="AB207" s="79"/>
      <c r="AC207" s="79"/>
      <c r="AD207" s="79"/>
      <c r="AE207" s="79"/>
      <c r="AF207" s="79"/>
      <c r="AG207" s="79"/>
      <c r="AH207" s="79"/>
      <c r="AI207" s="79"/>
      <c r="AJ207" s="79"/>
      <c r="AK207" s="79"/>
      <c r="AL207" s="79"/>
      <c r="AM207" s="79"/>
      <c r="AN207" s="79"/>
      <c r="AO207" s="79"/>
      <c r="AP207" s="79"/>
      <c r="AQ207" s="79"/>
      <c r="AR207" s="79"/>
      <c r="AS207" s="79"/>
      <c r="AT207" s="79"/>
      <c r="AU207" s="79"/>
      <c r="AV207" s="79"/>
      <c r="AW207" s="79"/>
      <c r="AX207" s="79"/>
      <c r="AY207" s="79"/>
      <c r="AZ207" s="79"/>
      <c r="BA207" s="79"/>
      <c r="BB207" s="79"/>
      <c r="BC207" s="79"/>
      <c r="BD207" s="79"/>
      <c r="BE207" s="79"/>
      <c r="BF207" s="79"/>
      <c r="BG207" s="79"/>
      <c r="BH207" s="79"/>
    </row>
    <row r="208" spans="1:60" x14ac:dyDescent="0.25">
      <c r="A208" s="79"/>
      <c r="J208" s="79"/>
      <c r="K208" s="79"/>
      <c r="L208" s="79"/>
      <c r="M208" s="79"/>
      <c r="N208" s="79"/>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79"/>
      <c r="AM208" s="79"/>
      <c r="AN208" s="79"/>
      <c r="AO208" s="79"/>
      <c r="AP208" s="79"/>
      <c r="AQ208" s="79"/>
      <c r="AR208" s="79"/>
      <c r="AS208" s="79"/>
      <c r="AT208" s="79"/>
      <c r="AU208" s="79"/>
      <c r="AV208" s="79"/>
      <c r="AW208" s="79"/>
      <c r="AX208" s="79"/>
      <c r="AY208" s="79"/>
      <c r="AZ208" s="79"/>
      <c r="BA208" s="79"/>
      <c r="BB208" s="79"/>
      <c r="BC208" s="79"/>
      <c r="BD208" s="79"/>
      <c r="BE208" s="79"/>
      <c r="BF208" s="79"/>
      <c r="BG208" s="79"/>
      <c r="BH208" s="79"/>
    </row>
    <row r="209" spans="1:60" x14ac:dyDescent="0.25">
      <c r="A209" s="79"/>
      <c r="J209" s="79"/>
      <c r="K209" s="79"/>
      <c r="L209" s="79"/>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79"/>
      <c r="AM209" s="79"/>
      <c r="AN209" s="79"/>
      <c r="AO209" s="79"/>
      <c r="AP209" s="79"/>
      <c r="AQ209" s="79"/>
      <c r="AR209" s="79"/>
      <c r="AS209" s="79"/>
      <c r="AT209" s="79"/>
      <c r="AU209" s="79"/>
      <c r="AV209" s="79"/>
      <c r="AW209" s="79"/>
      <c r="AX209" s="79"/>
      <c r="AY209" s="79"/>
      <c r="AZ209" s="79"/>
      <c r="BA209" s="79"/>
      <c r="BB209" s="79"/>
      <c r="BC209" s="79"/>
      <c r="BD209" s="79"/>
      <c r="BE209" s="79"/>
      <c r="BF209" s="79"/>
      <c r="BG209" s="79"/>
      <c r="BH209" s="79"/>
    </row>
    <row r="210" spans="1:60" x14ac:dyDescent="0.25">
      <c r="A210" s="79"/>
      <c r="J210" s="79"/>
      <c r="K210" s="79"/>
      <c r="L210" s="79"/>
      <c r="M210" s="79"/>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c r="AN210" s="79"/>
      <c r="AO210" s="79"/>
      <c r="AP210" s="79"/>
      <c r="AQ210" s="79"/>
      <c r="AR210" s="79"/>
      <c r="AS210" s="79"/>
      <c r="AT210" s="79"/>
      <c r="AU210" s="79"/>
      <c r="AV210" s="79"/>
      <c r="AW210" s="79"/>
      <c r="AX210" s="79"/>
      <c r="AY210" s="79"/>
      <c r="AZ210" s="79"/>
      <c r="BA210" s="79"/>
      <c r="BB210" s="79"/>
      <c r="BC210" s="79"/>
      <c r="BD210" s="79"/>
      <c r="BE210" s="79"/>
      <c r="BF210" s="79"/>
      <c r="BG210" s="79"/>
      <c r="BH210" s="79"/>
    </row>
    <row r="211" spans="1:60" x14ac:dyDescent="0.25">
      <c r="A211" s="79"/>
      <c r="J211" s="79"/>
      <c r="K211" s="79"/>
      <c r="L211" s="79"/>
      <c r="M211" s="79"/>
      <c r="N211" s="79"/>
      <c r="O211" s="79"/>
      <c r="P211" s="79"/>
      <c r="Q211" s="79"/>
      <c r="R211" s="79"/>
      <c r="S211" s="79"/>
      <c r="T211" s="79"/>
      <c r="U211" s="79"/>
      <c r="V211" s="79"/>
      <c r="W211" s="79"/>
      <c r="X211" s="79"/>
      <c r="Y211" s="79"/>
      <c r="Z211" s="79"/>
      <c r="AA211" s="79"/>
      <c r="AB211" s="79"/>
      <c r="AC211" s="79"/>
      <c r="AD211" s="79"/>
      <c r="AE211" s="79"/>
      <c r="AF211" s="79"/>
      <c r="AG211" s="79"/>
      <c r="AH211" s="79"/>
      <c r="AI211" s="79"/>
      <c r="AJ211" s="79"/>
      <c r="AK211" s="79"/>
      <c r="AL211" s="79"/>
      <c r="AM211" s="79"/>
      <c r="AN211" s="79"/>
      <c r="AO211" s="79"/>
      <c r="AP211" s="79"/>
      <c r="AQ211" s="79"/>
      <c r="AR211" s="79"/>
      <c r="AS211" s="79"/>
      <c r="AT211" s="79"/>
      <c r="AU211" s="79"/>
      <c r="AV211" s="79"/>
      <c r="AW211" s="79"/>
      <c r="AX211" s="79"/>
      <c r="AY211" s="79"/>
      <c r="AZ211" s="79"/>
      <c r="BA211" s="79"/>
      <c r="BB211" s="79"/>
      <c r="BC211" s="79"/>
      <c r="BD211" s="79"/>
      <c r="BE211" s="79"/>
      <c r="BF211" s="79"/>
      <c r="BG211" s="79"/>
      <c r="BH211" s="79"/>
    </row>
    <row r="212" spans="1:60" x14ac:dyDescent="0.25">
      <c r="A212" s="79"/>
      <c r="J212" s="79"/>
      <c r="K212" s="79"/>
      <c r="L212" s="79"/>
      <c r="M212" s="79"/>
      <c r="N212" s="79"/>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79"/>
      <c r="AM212" s="79"/>
      <c r="AN212" s="79"/>
      <c r="AO212" s="79"/>
      <c r="AP212" s="79"/>
      <c r="AQ212" s="79"/>
      <c r="AR212" s="79"/>
      <c r="AS212" s="79"/>
      <c r="AT212" s="79"/>
      <c r="AU212" s="79"/>
      <c r="AV212" s="79"/>
      <c r="AW212" s="79"/>
      <c r="AX212" s="79"/>
      <c r="AY212" s="79"/>
      <c r="AZ212" s="79"/>
      <c r="BA212" s="79"/>
      <c r="BB212" s="79"/>
      <c r="BC212" s="79"/>
      <c r="BD212" s="79"/>
      <c r="BE212" s="79"/>
      <c r="BF212" s="79"/>
      <c r="BG212" s="79"/>
      <c r="BH212" s="79"/>
    </row>
    <row r="213" spans="1:60" x14ac:dyDescent="0.25">
      <c r="A213" s="79"/>
      <c r="J213" s="79"/>
      <c r="K213" s="79"/>
      <c r="L213" s="79"/>
      <c r="M213" s="79"/>
      <c r="N213" s="79"/>
      <c r="O213" s="79"/>
      <c r="P213" s="79"/>
      <c r="Q213" s="79"/>
      <c r="R213" s="79"/>
      <c r="S213" s="79"/>
      <c r="T213" s="79"/>
      <c r="U213" s="79"/>
      <c r="V213" s="79"/>
      <c r="W213" s="79"/>
      <c r="X213" s="79"/>
      <c r="Y213" s="79"/>
      <c r="Z213" s="79"/>
      <c r="AA213" s="79"/>
      <c r="AB213" s="79"/>
      <c r="AC213" s="79"/>
      <c r="AD213" s="79"/>
      <c r="AE213" s="79"/>
      <c r="AF213" s="79"/>
      <c r="AG213" s="79"/>
      <c r="AH213" s="79"/>
      <c r="AI213" s="79"/>
      <c r="AJ213" s="79"/>
      <c r="AK213" s="79"/>
      <c r="AL213" s="79"/>
      <c r="AM213" s="79"/>
      <c r="AN213" s="79"/>
      <c r="AO213" s="79"/>
      <c r="AP213" s="79"/>
      <c r="AQ213" s="79"/>
      <c r="AR213" s="79"/>
      <c r="AS213" s="79"/>
      <c r="AT213" s="79"/>
      <c r="AU213" s="79"/>
      <c r="AV213" s="79"/>
      <c r="AW213" s="79"/>
      <c r="AX213" s="79"/>
      <c r="AY213" s="79"/>
      <c r="AZ213" s="79"/>
      <c r="BA213" s="79"/>
      <c r="BB213" s="79"/>
      <c r="BC213" s="79"/>
      <c r="BD213" s="79"/>
      <c r="BE213" s="79"/>
      <c r="BF213" s="79"/>
      <c r="BG213" s="79"/>
      <c r="BH213" s="79"/>
    </row>
    <row r="214" spans="1:60" x14ac:dyDescent="0.25">
      <c r="A214" s="79"/>
      <c r="J214" s="79"/>
      <c r="K214" s="79"/>
      <c r="L214" s="79"/>
      <c r="M214" s="79"/>
      <c r="N214" s="79"/>
      <c r="O214" s="79"/>
      <c r="P214" s="79"/>
      <c r="Q214" s="79"/>
      <c r="R214" s="79"/>
      <c r="S214" s="79"/>
      <c r="T214" s="79"/>
      <c r="U214" s="79"/>
      <c r="V214" s="79"/>
      <c r="W214" s="79"/>
      <c r="X214" s="79"/>
      <c r="Y214" s="79"/>
      <c r="Z214" s="79"/>
      <c r="AA214" s="79"/>
      <c r="AB214" s="79"/>
      <c r="AC214" s="79"/>
      <c r="AD214" s="79"/>
      <c r="AE214" s="79"/>
      <c r="AF214" s="79"/>
      <c r="AG214" s="79"/>
      <c r="AH214" s="79"/>
      <c r="AI214" s="79"/>
      <c r="AJ214" s="79"/>
      <c r="AK214" s="79"/>
      <c r="AL214" s="79"/>
      <c r="AM214" s="79"/>
      <c r="AN214" s="79"/>
      <c r="AO214" s="79"/>
      <c r="AP214" s="79"/>
      <c r="AQ214" s="79"/>
      <c r="AR214" s="79"/>
      <c r="AS214" s="79"/>
      <c r="AT214" s="79"/>
      <c r="AU214" s="79"/>
      <c r="AV214" s="79"/>
      <c r="AW214" s="79"/>
      <c r="AX214" s="79"/>
      <c r="AY214" s="79"/>
      <c r="AZ214" s="79"/>
      <c r="BA214" s="79"/>
      <c r="BB214" s="79"/>
      <c r="BC214" s="79"/>
      <c r="BD214" s="79"/>
      <c r="BE214" s="79"/>
      <c r="BF214" s="79"/>
      <c r="BG214" s="79"/>
      <c r="BH214" s="79"/>
    </row>
    <row r="215" spans="1:60" x14ac:dyDescent="0.25">
      <c r="A215" s="79"/>
      <c r="J215" s="79"/>
      <c r="K215" s="79"/>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79"/>
      <c r="AO215" s="79"/>
      <c r="AP215" s="79"/>
      <c r="AQ215" s="79"/>
      <c r="AR215" s="79"/>
      <c r="AS215" s="79"/>
      <c r="AT215" s="79"/>
      <c r="AU215" s="79"/>
      <c r="AV215" s="79"/>
      <c r="AW215" s="79"/>
      <c r="AX215" s="79"/>
      <c r="AY215" s="79"/>
      <c r="AZ215" s="79"/>
      <c r="BA215" s="79"/>
      <c r="BB215" s="79"/>
      <c r="BC215" s="79"/>
      <c r="BD215" s="79"/>
      <c r="BE215" s="79"/>
      <c r="BF215" s="79"/>
      <c r="BG215" s="79"/>
      <c r="BH215" s="79"/>
    </row>
    <row r="216" spans="1:60" x14ac:dyDescent="0.25">
      <c r="A216" s="79"/>
      <c r="J216" s="79"/>
      <c r="K216" s="79"/>
      <c r="L216" s="79"/>
      <c r="M216" s="79"/>
      <c r="N216" s="79"/>
      <c r="O216" s="79"/>
      <c r="P216" s="79"/>
      <c r="Q216" s="79"/>
      <c r="R216" s="79"/>
      <c r="S216" s="79"/>
      <c r="T216" s="79"/>
      <c r="U216" s="79"/>
      <c r="V216" s="79"/>
      <c r="W216" s="79"/>
      <c r="X216" s="79"/>
      <c r="Y216" s="79"/>
      <c r="Z216" s="79"/>
      <c r="AA216" s="79"/>
      <c r="AB216" s="79"/>
      <c r="AC216" s="79"/>
      <c r="AD216" s="79"/>
      <c r="AE216" s="79"/>
      <c r="AF216" s="79"/>
      <c r="AG216" s="79"/>
      <c r="AH216" s="79"/>
      <c r="AI216" s="79"/>
      <c r="AJ216" s="79"/>
      <c r="AK216" s="79"/>
      <c r="AL216" s="79"/>
      <c r="AM216" s="79"/>
      <c r="AN216" s="79"/>
      <c r="AO216" s="79"/>
      <c r="AP216" s="79"/>
      <c r="AQ216" s="79"/>
      <c r="AR216" s="79"/>
      <c r="AS216" s="79"/>
      <c r="AT216" s="79"/>
      <c r="AU216" s="79"/>
      <c r="AV216" s="79"/>
      <c r="AW216" s="79"/>
      <c r="AX216" s="79"/>
      <c r="AY216" s="79"/>
      <c r="AZ216" s="79"/>
      <c r="BA216" s="79"/>
      <c r="BB216" s="79"/>
      <c r="BC216" s="79"/>
      <c r="BD216" s="79"/>
      <c r="BE216" s="79"/>
      <c r="BF216" s="79"/>
      <c r="BG216" s="79"/>
      <c r="BH216" s="79"/>
    </row>
    <row r="217" spans="1:60" x14ac:dyDescent="0.25">
      <c r="A217" s="79"/>
      <c r="J217" s="79"/>
      <c r="K217" s="79"/>
      <c r="L217" s="79"/>
      <c r="M217" s="79"/>
      <c r="N217" s="79"/>
      <c r="O217" s="79"/>
      <c r="P217" s="79"/>
      <c r="Q217" s="79"/>
      <c r="R217" s="79"/>
      <c r="S217" s="79"/>
      <c r="T217" s="79"/>
      <c r="U217" s="79"/>
      <c r="V217" s="79"/>
      <c r="W217" s="79"/>
      <c r="X217" s="79"/>
      <c r="Y217" s="79"/>
      <c r="Z217" s="79"/>
      <c r="AA217" s="79"/>
      <c r="AB217" s="79"/>
      <c r="AC217" s="79"/>
      <c r="AD217" s="79"/>
      <c r="AE217" s="79"/>
      <c r="AF217" s="79"/>
      <c r="AG217" s="79"/>
      <c r="AH217" s="79"/>
      <c r="AI217" s="79"/>
      <c r="AJ217" s="79"/>
      <c r="AK217" s="79"/>
      <c r="AL217" s="79"/>
      <c r="AM217" s="79"/>
      <c r="AN217" s="79"/>
      <c r="AO217" s="79"/>
      <c r="AP217" s="79"/>
      <c r="AQ217" s="79"/>
      <c r="AR217" s="79"/>
      <c r="AS217" s="79"/>
      <c r="AT217" s="79"/>
      <c r="AU217" s="79"/>
      <c r="AV217" s="79"/>
      <c r="AW217" s="79"/>
      <c r="AX217" s="79"/>
      <c r="AY217" s="79"/>
      <c r="AZ217" s="79"/>
      <c r="BA217" s="79"/>
      <c r="BB217" s="79"/>
      <c r="BC217" s="79"/>
      <c r="BD217" s="79"/>
      <c r="BE217" s="79"/>
      <c r="BF217" s="79"/>
      <c r="BG217" s="79"/>
      <c r="BH217" s="79"/>
    </row>
    <row r="218" spans="1:60" x14ac:dyDescent="0.25">
      <c r="A218" s="79"/>
      <c r="J218" s="79"/>
      <c r="K218" s="79"/>
      <c r="L218" s="79"/>
      <c r="M218" s="79"/>
      <c r="N218" s="79"/>
      <c r="O218" s="79"/>
      <c r="P218" s="79"/>
      <c r="Q218" s="79"/>
      <c r="R218" s="79"/>
      <c r="S218" s="79"/>
      <c r="T218" s="79"/>
      <c r="U218" s="79"/>
      <c r="V218" s="79"/>
      <c r="W218" s="79"/>
      <c r="X218" s="79"/>
      <c r="Y218" s="79"/>
      <c r="Z218" s="79"/>
      <c r="AA218" s="79"/>
      <c r="AB218" s="79"/>
      <c r="AC218" s="79"/>
      <c r="AD218" s="79"/>
      <c r="AE218" s="79"/>
      <c r="AF218" s="79"/>
      <c r="AG218" s="79"/>
      <c r="AH218" s="79"/>
      <c r="AI218" s="79"/>
      <c r="AJ218" s="79"/>
      <c r="AK218" s="79"/>
      <c r="AL218" s="79"/>
      <c r="AM218" s="79"/>
      <c r="AN218" s="79"/>
      <c r="AO218" s="79"/>
      <c r="AP218" s="79"/>
      <c r="AQ218" s="79"/>
      <c r="AR218" s="79"/>
      <c r="AS218" s="79"/>
      <c r="AT218" s="79"/>
      <c r="AU218" s="79"/>
      <c r="AV218" s="79"/>
      <c r="AW218" s="79"/>
      <c r="AX218" s="79"/>
      <c r="AY218" s="79"/>
      <c r="AZ218" s="79"/>
      <c r="BA218" s="79"/>
      <c r="BB218" s="79"/>
      <c r="BC218" s="79"/>
      <c r="BD218" s="79"/>
      <c r="BE218" s="79"/>
      <c r="BF218" s="79"/>
      <c r="BG218" s="79"/>
      <c r="BH218" s="79"/>
    </row>
    <row r="219" spans="1:60" x14ac:dyDescent="0.25">
      <c r="A219" s="79"/>
      <c r="J219" s="79"/>
      <c r="K219" s="79"/>
      <c r="L219" s="79"/>
      <c r="M219" s="79"/>
      <c r="N219" s="79"/>
      <c r="O219" s="79"/>
      <c r="P219" s="79"/>
      <c r="Q219" s="79"/>
      <c r="R219" s="79"/>
      <c r="S219" s="79"/>
      <c r="T219" s="79"/>
      <c r="U219" s="79"/>
      <c r="V219" s="79"/>
      <c r="W219" s="79"/>
      <c r="X219" s="79"/>
      <c r="Y219" s="79"/>
      <c r="Z219" s="79"/>
      <c r="AA219" s="79"/>
      <c r="AB219" s="79"/>
      <c r="AC219" s="79"/>
      <c r="AD219" s="79"/>
      <c r="AE219" s="79"/>
      <c r="AF219" s="79"/>
      <c r="AG219" s="79"/>
      <c r="AH219" s="79"/>
      <c r="AI219" s="79"/>
      <c r="AJ219" s="79"/>
      <c r="AK219" s="79"/>
      <c r="AL219" s="79"/>
      <c r="AM219" s="79"/>
      <c r="AN219" s="79"/>
      <c r="AO219" s="79"/>
      <c r="AP219" s="79"/>
      <c r="AQ219" s="79"/>
      <c r="AR219" s="79"/>
      <c r="AS219" s="79"/>
      <c r="AT219" s="79"/>
      <c r="AU219" s="79"/>
      <c r="AV219" s="79"/>
      <c r="AW219" s="79"/>
      <c r="AX219" s="79"/>
      <c r="AY219" s="79"/>
      <c r="AZ219" s="79"/>
      <c r="BA219" s="79"/>
      <c r="BB219" s="79"/>
      <c r="BC219" s="79"/>
      <c r="BD219" s="79"/>
      <c r="BE219" s="79"/>
      <c r="BF219" s="79"/>
      <c r="BG219" s="79"/>
      <c r="BH219" s="79"/>
    </row>
    <row r="220" spans="1:60" x14ac:dyDescent="0.25">
      <c r="A220" s="79"/>
      <c r="J220" s="79"/>
      <c r="K220" s="79"/>
      <c r="L220" s="79"/>
      <c r="M220" s="79"/>
      <c r="N220" s="79"/>
      <c r="O220" s="79"/>
      <c r="P220" s="79"/>
      <c r="Q220" s="79"/>
      <c r="R220" s="79"/>
      <c r="S220" s="79"/>
      <c r="T220" s="79"/>
      <c r="U220" s="79"/>
      <c r="V220" s="79"/>
      <c r="W220" s="79"/>
      <c r="X220" s="79"/>
      <c r="Y220" s="79"/>
      <c r="Z220" s="79"/>
      <c r="AA220" s="79"/>
      <c r="AB220" s="79"/>
      <c r="AC220" s="79"/>
      <c r="AD220" s="79"/>
      <c r="AE220" s="79"/>
      <c r="AF220" s="79"/>
      <c r="AG220" s="79"/>
      <c r="AH220" s="79"/>
      <c r="AI220" s="79"/>
      <c r="AJ220" s="79"/>
      <c r="AK220" s="79"/>
      <c r="AL220" s="79"/>
      <c r="AM220" s="79"/>
      <c r="AN220" s="79"/>
      <c r="AO220" s="79"/>
      <c r="AP220" s="79"/>
      <c r="AQ220" s="79"/>
      <c r="AR220" s="79"/>
      <c r="AS220" s="79"/>
      <c r="AT220" s="79"/>
      <c r="AU220" s="79"/>
      <c r="AV220" s="79"/>
      <c r="AW220" s="79"/>
      <c r="AX220" s="79"/>
      <c r="AY220" s="79"/>
      <c r="AZ220" s="79"/>
      <c r="BA220" s="79"/>
      <c r="BB220" s="79"/>
      <c r="BC220" s="79"/>
      <c r="BD220" s="79"/>
      <c r="BE220" s="79"/>
      <c r="BF220" s="79"/>
      <c r="BG220" s="79"/>
      <c r="BH220" s="79"/>
    </row>
    <row r="221" spans="1:60" x14ac:dyDescent="0.25">
      <c r="A221" s="79"/>
      <c r="J221" s="79"/>
      <c r="K221" s="79"/>
      <c r="L221" s="79"/>
      <c r="M221" s="79"/>
      <c r="N221" s="79"/>
      <c r="O221" s="79"/>
      <c r="P221" s="79"/>
      <c r="Q221" s="79"/>
      <c r="R221" s="79"/>
      <c r="S221" s="79"/>
      <c r="T221" s="79"/>
      <c r="U221" s="79"/>
      <c r="V221" s="79"/>
      <c r="W221" s="79"/>
      <c r="X221" s="79"/>
      <c r="Y221" s="79"/>
      <c r="Z221" s="79"/>
      <c r="AA221" s="79"/>
      <c r="AB221" s="79"/>
      <c r="AC221" s="79"/>
      <c r="AD221" s="79"/>
      <c r="AE221" s="79"/>
      <c r="AF221" s="79"/>
      <c r="AG221" s="79"/>
      <c r="AH221" s="79"/>
      <c r="AI221" s="79"/>
      <c r="AJ221" s="79"/>
      <c r="AK221" s="79"/>
      <c r="AL221" s="79"/>
      <c r="AM221" s="79"/>
      <c r="AN221" s="79"/>
      <c r="AO221" s="79"/>
      <c r="AP221" s="79"/>
      <c r="AQ221" s="79"/>
      <c r="AR221" s="79"/>
      <c r="AS221" s="79"/>
      <c r="AT221" s="79"/>
      <c r="AU221" s="79"/>
      <c r="AV221" s="79"/>
      <c r="AW221" s="79"/>
      <c r="AX221" s="79"/>
      <c r="AY221" s="79"/>
      <c r="AZ221" s="79"/>
      <c r="BA221" s="79"/>
      <c r="BB221" s="79"/>
      <c r="BC221" s="79"/>
      <c r="BD221" s="79"/>
      <c r="BE221" s="79"/>
      <c r="BF221" s="79"/>
      <c r="BG221" s="79"/>
      <c r="BH221" s="79"/>
    </row>
    <row r="222" spans="1:60" x14ac:dyDescent="0.25">
      <c r="A222" s="79"/>
      <c r="J222" s="79"/>
      <c r="K222" s="79"/>
      <c r="L222" s="79"/>
      <c r="M222" s="79"/>
      <c r="N222" s="79"/>
      <c r="O222" s="79"/>
      <c r="P222" s="79"/>
      <c r="Q222" s="79"/>
      <c r="R222" s="79"/>
      <c r="S222" s="79"/>
      <c r="T222" s="79"/>
      <c r="U222" s="79"/>
      <c r="V222" s="79"/>
      <c r="W222" s="79"/>
      <c r="X222" s="79"/>
      <c r="Y222" s="79"/>
      <c r="Z222" s="79"/>
      <c r="AA222" s="79"/>
      <c r="AB222" s="79"/>
      <c r="AC222" s="79"/>
      <c r="AD222" s="79"/>
      <c r="AE222" s="79"/>
      <c r="AF222" s="79"/>
      <c r="AG222" s="79"/>
      <c r="AH222" s="79"/>
      <c r="AI222" s="79"/>
      <c r="AJ222" s="79"/>
      <c r="AK222" s="79"/>
      <c r="AL222" s="79"/>
      <c r="AM222" s="79"/>
      <c r="AN222" s="79"/>
      <c r="AO222" s="79"/>
      <c r="AP222" s="79"/>
      <c r="AQ222" s="79"/>
      <c r="AR222" s="79"/>
      <c r="AS222" s="79"/>
      <c r="AT222" s="79"/>
      <c r="AU222" s="79"/>
      <c r="AV222" s="79"/>
      <c r="AW222" s="79"/>
      <c r="AX222" s="79"/>
      <c r="AY222" s="79"/>
      <c r="AZ222" s="79"/>
      <c r="BA222" s="79"/>
      <c r="BB222" s="79"/>
      <c r="BC222" s="79"/>
      <c r="BD222" s="79"/>
      <c r="BE222" s="79"/>
      <c r="BF222" s="79"/>
      <c r="BG222" s="79"/>
      <c r="BH222" s="79"/>
    </row>
    <row r="223" spans="1:60" x14ac:dyDescent="0.25">
      <c r="A223" s="79"/>
      <c r="J223" s="79"/>
      <c r="K223" s="79"/>
      <c r="L223" s="79"/>
      <c r="M223" s="79"/>
      <c r="N223" s="79"/>
      <c r="O223" s="79"/>
      <c r="P223" s="79"/>
      <c r="Q223" s="79"/>
      <c r="R223" s="79"/>
      <c r="S223" s="79"/>
      <c r="T223" s="79"/>
      <c r="U223" s="79"/>
      <c r="V223" s="79"/>
      <c r="W223" s="79"/>
      <c r="X223" s="79"/>
      <c r="Y223" s="79"/>
      <c r="Z223" s="79"/>
      <c r="AA223" s="79"/>
      <c r="AB223" s="79"/>
      <c r="AC223" s="79"/>
      <c r="AD223" s="79"/>
      <c r="AE223" s="79"/>
      <c r="AF223" s="79"/>
      <c r="AG223" s="79"/>
      <c r="AH223" s="79"/>
      <c r="AI223" s="79"/>
      <c r="AJ223" s="79"/>
      <c r="AK223" s="79"/>
      <c r="AL223" s="79"/>
      <c r="AM223" s="79"/>
      <c r="AN223" s="79"/>
      <c r="AO223" s="79"/>
      <c r="AP223" s="79"/>
      <c r="AQ223" s="79"/>
      <c r="AR223" s="79"/>
      <c r="AS223" s="79"/>
      <c r="AT223" s="79"/>
      <c r="AU223" s="79"/>
      <c r="AV223" s="79"/>
      <c r="AW223" s="79"/>
      <c r="AX223" s="79"/>
      <c r="AY223" s="79"/>
      <c r="AZ223" s="79"/>
      <c r="BA223" s="79"/>
      <c r="BB223" s="79"/>
      <c r="BC223" s="79"/>
      <c r="BD223" s="79"/>
      <c r="BE223" s="79"/>
      <c r="BF223" s="79"/>
      <c r="BG223" s="79"/>
      <c r="BH223" s="79"/>
    </row>
    <row r="224" spans="1:60" x14ac:dyDescent="0.25">
      <c r="A224" s="79"/>
      <c r="J224" s="79"/>
      <c r="K224" s="79"/>
      <c r="L224" s="79"/>
      <c r="M224" s="79"/>
      <c r="N224" s="79"/>
      <c r="O224" s="79"/>
      <c r="P224" s="79"/>
      <c r="Q224" s="79"/>
      <c r="R224" s="79"/>
      <c r="S224" s="79"/>
      <c r="T224" s="79"/>
      <c r="U224" s="79"/>
      <c r="V224" s="79"/>
      <c r="W224" s="79"/>
      <c r="X224" s="79"/>
      <c r="Y224" s="79"/>
      <c r="Z224" s="79"/>
      <c r="AA224" s="79"/>
      <c r="AB224" s="79"/>
      <c r="AC224" s="79"/>
      <c r="AD224" s="79"/>
      <c r="AE224" s="79"/>
      <c r="AF224" s="79"/>
      <c r="AG224" s="79"/>
      <c r="AH224" s="79"/>
      <c r="AI224" s="79"/>
      <c r="AJ224" s="79"/>
      <c r="AK224" s="79"/>
      <c r="AL224" s="79"/>
      <c r="AM224" s="79"/>
      <c r="AN224" s="79"/>
      <c r="AO224" s="79"/>
      <c r="AP224" s="79"/>
      <c r="AQ224" s="79"/>
      <c r="AR224" s="79"/>
      <c r="AS224" s="79"/>
      <c r="AT224" s="79"/>
      <c r="AU224" s="79"/>
      <c r="AV224" s="79"/>
      <c r="AW224" s="79"/>
      <c r="AX224" s="79"/>
      <c r="AY224" s="79"/>
      <c r="AZ224" s="79"/>
      <c r="BA224" s="79"/>
      <c r="BB224" s="79"/>
      <c r="BC224" s="79"/>
      <c r="BD224" s="79"/>
      <c r="BE224" s="79"/>
      <c r="BF224" s="79"/>
      <c r="BG224" s="79"/>
      <c r="BH224" s="79"/>
    </row>
    <row r="225" spans="1:60" x14ac:dyDescent="0.25">
      <c r="A225" s="79"/>
      <c r="J225" s="79"/>
      <c r="K225" s="79"/>
      <c r="L225" s="79"/>
      <c r="M225" s="79"/>
      <c r="N225" s="79"/>
      <c r="O225" s="79"/>
      <c r="P225" s="79"/>
      <c r="Q225" s="79"/>
      <c r="R225" s="79"/>
      <c r="S225" s="79"/>
      <c r="T225" s="79"/>
      <c r="U225" s="79"/>
      <c r="V225" s="79"/>
      <c r="W225" s="79"/>
      <c r="X225" s="79"/>
      <c r="Y225" s="79"/>
      <c r="Z225" s="79"/>
      <c r="AA225" s="79"/>
      <c r="AB225" s="79"/>
      <c r="AC225" s="79"/>
      <c r="AD225" s="79"/>
      <c r="AE225" s="79"/>
      <c r="AF225" s="79"/>
      <c r="AG225" s="79"/>
      <c r="AH225" s="79"/>
      <c r="AI225" s="79"/>
      <c r="AJ225" s="79"/>
      <c r="AK225" s="79"/>
      <c r="AL225" s="79"/>
      <c r="AM225" s="79"/>
      <c r="AN225" s="79"/>
      <c r="AO225" s="79"/>
      <c r="AP225" s="79"/>
      <c r="AQ225" s="79"/>
      <c r="AR225" s="79"/>
      <c r="AS225" s="79"/>
      <c r="AT225" s="79"/>
      <c r="AU225" s="79"/>
      <c r="AV225" s="79"/>
      <c r="AW225" s="79"/>
      <c r="AX225" s="79"/>
      <c r="AY225" s="79"/>
      <c r="AZ225" s="79"/>
      <c r="BA225" s="79"/>
      <c r="BB225" s="79"/>
      <c r="BC225" s="79"/>
      <c r="BD225" s="79"/>
      <c r="BE225" s="79"/>
      <c r="BF225" s="79"/>
      <c r="BG225" s="79"/>
      <c r="BH225" s="79"/>
    </row>
    <row r="226" spans="1:60" x14ac:dyDescent="0.25">
      <c r="A226" s="79"/>
      <c r="J226" s="79"/>
      <c r="K226" s="79"/>
      <c r="L226" s="79"/>
      <c r="M226" s="79"/>
      <c r="N226" s="79"/>
      <c r="O226" s="79"/>
      <c r="P226" s="79"/>
      <c r="Q226" s="79"/>
      <c r="R226" s="79"/>
      <c r="S226" s="79"/>
      <c r="T226" s="79"/>
      <c r="U226" s="79"/>
      <c r="V226" s="79"/>
      <c r="W226" s="79"/>
      <c r="X226" s="79"/>
      <c r="Y226" s="79"/>
      <c r="Z226" s="79"/>
      <c r="AA226" s="79"/>
      <c r="AB226" s="79"/>
      <c r="AC226" s="79"/>
      <c r="AD226" s="79"/>
      <c r="AE226" s="79"/>
      <c r="AF226" s="79"/>
      <c r="AG226" s="79"/>
      <c r="AH226" s="79"/>
      <c r="AI226" s="79"/>
      <c r="AJ226" s="79"/>
      <c r="AK226" s="79"/>
      <c r="AL226" s="79"/>
      <c r="AM226" s="79"/>
      <c r="AN226" s="79"/>
      <c r="AO226" s="79"/>
      <c r="AP226" s="79"/>
      <c r="AQ226" s="79"/>
      <c r="AR226" s="79"/>
      <c r="AS226" s="79"/>
      <c r="AT226" s="79"/>
      <c r="AU226" s="79"/>
      <c r="AV226" s="79"/>
      <c r="AW226" s="79"/>
      <c r="AX226" s="79"/>
      <c r="AY226" s="79"/>
      <c r="AZ226" s="79"/>
      <c r="BA226" s="79"/>
      <c r="BB226" s="79"/>
      <c r="BC226" s="79"/>
      <c r="BD226" s="79"/>
      <c r="BE226" s="79"/>
      <c r="BF226" s="79"/>
      <c r="BG226" s="79"/>
      <c r="BH226" s="79"/>
    </row>
    <row r="227" spans="1:60" x14ac:dyDescent="0.25">
      <c r="A227" s="79"/>
      <c r="J227" s="79"/>
      <c r="K227" s="79"/>
      <c r="L227" s="79"/>
      <c r="M227" s="79"/>
      <c r="N227" s="79"/>
      <c r="O227" s="79"/>
      <c r="P227" s="79"/>
      <c r="Q227" s="79"/>
      <c r="R227" s="79"/>
      <c r="S227" s="79"/>
      <c r="T227" s="79"/>
      <c r="U227" s="79"/>
      <c r="V227" s="79"/>
      <c r="W227" s="79"/>
      <c r="X227" s="79"/>
      <c r="Y227" s="79"/>
      <c r="Z227" s="79"/>
      <c r="AA227" s="79"/>
      <c r="AB227" s="79"/>
      <c r="AC227" s="79"/>
      <c r="AD227" s="79"/>
      <c r="AE227" s="79"/>
      <c r="AF227" s="79"/>
      <c r="AG227" s="79"/>
      <c r="AH227" s="79"/>
      <c r="AI227" s="79"/>
      <c r="AJ227" s="79"/>
      <c r="AK227" s="79"/>
      <c r="AL227" s="79"/>
      <c r="AM227" s="79"/>
      <c r="AN227" s="79"/>
      <c r="AO227" s="79"/>
      <c r="AP227" s="79"/>
      <c r="AQ227" s="79"/>
      <c r="AR227" s="79"/>
      <c r="AS227" s="79"/>
      <c r="AT227" s="79"/>
      <c r="AU227" s="79"/>
      <c r="AV227" s="79"/>
      <c r="AW227" s="79"/>
      <c r="AX227" s="79"/>
      <c r="AY227" s="79"/>
      <c r="AZ227" s="79"/>
      <c r="BA227" s="79"/>
      <c r="BB227" s="79"/>
      <c r="BC227" s="79"/>
      <c r="BD227" s="79"/>
      <c r="BE227" s="79"/>
      <c r="BF227" s="79"/>
      <c r="BG227" s="79"/>
      <c r="BH227" s="79"/>
    </row>
    <row r="228" spans="1:60" x14ac:dyDescent="0.25">
      <c r="A228" s="79"/>
      <c r="J228" s="79"/>
      <c r="K228" s="79"/>
      <c r="L228" s="79"/>
      <c r="M228" s="79"/>
      <c r="N228" s="79"/>
      <c r="O228" s="79"/>
      <c r="P228" s="79"/>
      <c r="Q228" s="79"/>
      <c r="R228" s="79"/>
      <c r="S228" s="79"/>
      <c r="T228" s="79"/>
      <c r="U228" s="79"/>
      <c r="V228" s="79"/>
      <c r="W228" s="79"/>
      <c r="X228" s="79"/>
      <c r="Y228" s="79"/>
      <c r="Z228" s="79"/>
      <c r="AA228" s="79"/>
      <c r="AB228" s="79"/>
      <c r="AC228" s="79"/>
      <c r="AD228" s="79"/>
      <c r="AE228" s="79"/>
      <c r="AF228" s="79"/>
      <c r="AG228" s="79"/>
      <c r="AH228" s="79"/>
      <c r="AI228" s="79"/>
      <c r="AJ228" s="79"/>
      <c r="AK228" s="79"/>
      <c r="AL228" s="79"/>
      <c r="AM228" s="79"/>
      <c r="AN228" s="79"/>
      <c r="AO228" s="79"/>
      <c r="AP228" s="79"/>
      <c r="AQ228" s="79"/>
      <c r="AR228" s="79"/>
      <c r="AS228" s="79"/>
      <c r="AT228" s="79"/>
      <c r="AU228" s="79"/>
      <c r="AV228" s="79"/>
      <c r="AW228" s="79"/>
      <c r="AX228" s="79"/>
      <c r="AY228" s="79"/>
      <c r="AZ228" s="79"/>
      <c r="BA228" s="79"/>
      <c r="BB228" s="79"/>
      <c r="BC228" s="79"/>
      <c r="BD228" s="79"/>
      <c r="BE228" s="79"/>
      <c r="BF228" s="79"/>
      <c r="BG228" s="79"/>
      <c r="BH228" s="79"/>
    </row>
    <row r="229" spans="1:60" x14ac:dyDescent="0.25">
      <c r="A229" s="79"/>
      <c r="J229" s="79"/>
      <c r="K229" s="79"/>
      <c r="L229" s="79"/>
      <c r="M229" s="79"/>
      <c r="N229" s="79"/>
      <c r="O229" s="79"/>
      <c r="P229" s="79"/>
      <c r="Q229" s="79"/>
      <c r="R229" s="79"/>
      <c r="S229" s="79"/>
      <c r="T229" s="79"/>
      <c r="U229" s="79"/>
      <c r="V229" s="79"/>
      <c r="W229" s="79"/>
      <c r="X229" s="79"/>
      <c r="Y229" s="79"/>
      <c r="Z229" s="79"/>
      <c r="AA229" s="79"/>
      <c r="AB229" s="79"/>
      <c r="AC229" s="79"/>
      <c r="AD229" s="79"/>
      <c r="AE229" s="79"/>
      <c r="AF229" s="79"/>
      <c r="AG229" s="79"/>
      <c r="AH229" s="79"/>
      <c r="AI229" s="79"/>
      <c r="AJ229" s="79"/>
      <c r="AK229" s="79"/>
      <c r="AL229" s="79"/>
      <c r="AM229" s="79"/>
      <c r="AN229" s="79"/>
      <c r="AO229" s="79"/>
      <c r="AP229" s="79"/>
      <c r="AQ229" s="79"/>
      <c r="AR229" s="79"/>
      <c r="AS229" s="79"/>
      <c r="AT229" s="79"/>
      <c r="AU229" s="79"/>
      <c r="AV229" s="79"/>
      <c r="AW229" s="79"/>
      <c r="AX229" s="79"/>
      <c r="AY229" s="79"/>
      <c r="AZ229" s="79"/>
      <c r="BA229" s="79"/>
      <c r="BB229" s="79"/>
      <c r="BC229" s="79"/>
      <c r="BD229" s="79"/>
      <c r="BE229" s="79"/>
      <c r="BF229" s="79"/>
      <c r="BG229" s="79"/>
      <c r="BH229" s="79"/>
    </row>
    <row r="230" spans="1:60" x14ac:dyDescent="0.25">
      <c r="A230" s="79"/>
      <c r="J230" s="79"/>
      <c r="K230" s="79"/>
      <c r="L230" s="79"/>
      <c r="M230" s="79"/>
      <c r="N230" s="79"/>
      <c r="O230" s="79"/>
      <c r="P230" s="79"/>
      <c r="Q230" s="79"/>
      <c r="R230" s="79"/>
      <c r="S230" s="79"/>
      <c r="T230" s="79"/>
      <c r="U230" s="79"/>
      <c r="V230" s="79"/>
      <c r="W230" s="79"/>
      <c r="X230" s="79"/>
      <c r="Y230" s="79"/>
      <c r="Z230" s="79"/>
      <c r="AA230" s="79"/>
      <c r="AB230" s="79"/>
      <c r="AC230" s="79"/>
      <c r="AD230" s="79"/>
      <c r="AE230" s="79"/>
      <c r="AF230" s="79"/>
      <c r="AG230" s="79"/>
      <c r="AH230" s="79"/>
      <c r="AI230" s="79"/>
      <c r="AJ230" s="79"/>
      <c r="AK230" s="79"/>
      <c r="AL230" s="79"/>
      <c r="AM230" s="79"/>
      <c r="AN230" s="79"/>
      <c r="AO230" s="79"/>
      <c r="AP230" s="79"/>
      <c r="AQ230" s="79"/>
      <c r="AR230" s="79"/>
      <c r="AS230" s="79"/>
      <c r="AT230" s="79"/>
      <c r="AU230" s="79"/>
      <c r="AV230" s="79"/>
      <c r="AW230" s="79"/>
      <c r="AX230" s="79"/>
      <c r="AY230" s="79"/>
      <c r="AZ230" s="79"/>
      <c r="BA230" s="79"/>
      <c r="BB230" s="79"/>
      <c r="BC230" s="79"/>
      <c r="BD230" s="79"/>
      <c r="BE230" s="79"/>
      <c r="BF230" s="79"/>
      <c r="BG230" s="79"/>
      <c r="BH230" s="79"/>
    </row>
    <row r="231" spans="1:60" x14ac:dyDescent="0.25">
      <c r="A231" s="79"/>
      <c r="J231" s="79"/>
      <c r="K231" s="79"/>
      <c r="L231" s="79"/>
      <c r="M231" s="79"/>
      <c r="N231" s="79"/>
      <c r="O231" s="79"/>
      <c r="P231" s="79"/>
      <c r="Q231" s="79"/>
      <c r="R231" s="79"/>
      <c r="S231" s="79"/>
      <c r="T231" s="79"/>
      <c r="U231" s="79"/>
      <c r="V231" s="79"/>
      <c r="W231" s="79"/>
      <c r="X231" s="79"/>
      <c r="Y231" s="79"/>
      <c r="Z231" s="79"/>
      <c r="AA231" s="79"/>
      <c r="AB231" s="79"/>
      <c r="AC231" s="79"/>
      <c r="AD231" s="79"/>
      <c r="AE231" s="79"/>
      <c r="AF231" s="79"/>
      <c r="AG231" s="79"/>
      <c r="AH231" s="79"/>
      <c r="AI231" s="79"/>
      <c r="AJ231" s="79"/>
      <c r="AK231" s="79"/>
      <c r="AL231" s="79"/>
      <c r="AM231" s="79"/>
      <c r="AN231" s="79"/>
      <c r="AO231" s="79"/>
      <c r="AP231" s="79"/>
      <c r="AQ231" s="79"/>
      <c r="AR231" s="79"/>
      <c r="AS231" s="79"/>
      <c r="AT231" s="79"/>
      <c r="AU231" s="79"/>
      <c r="AV231" s="79"/>
      <c r="AW231" s="79"/>
      <c r="AX231" s="79"/>
      <c r="AY231" s="79"/>
      <c r="AZ231" s="79"/>
      <c r="BA231" s="79"/>
      <c r="BB231" s="79"/>
      <c r="BC231" s="79"/>
      <c r="BD231" s="79"/>
      <c r="BE231" s="79"/>
      <c r="BF231" s="79"/>
      <c r="BG231" s="79"/>
      <c r="BH231" s="79"/>
    </row>
    <row r="232" spans="1:60" x14ac:dyDescent="0.25">
      <c r="A232" s="79"/>
      <c r="J232" s="79"/>
      <c r="K232" s="79"/>
      <c r="L232" s="79"/>
      <c r="M232" s="79"/>
      <c r="N232" s="79"/>
      <c r="O232" s="79"/>
      <c r="P232" s="79"/>
      <c r="Q232" s="79"/>
      <c r="R232" s="79"/>
      <c r="S232" s="79"/>
      <c r="T232" s="79"/>
      <c r="U232" s="79"/>
      <c r="V232" s="79"/>
      <c r="W232" s="79"/>
      <c r="X232" s="79"/>
      <c r="Y232" s="79"/>
      <c r="Z232" s="79"/>
      <c r="AA232" s="79"/>
      <c r="AB232" s="79"/>
      <c r="AC232" s="79"/>
      <c r="AD232" s="79"/>
      <c r="AE232" s="79"/>
      <c r="AF232" s="79"/>
      <c r="AG232" s="79"/>
      <c r="AH232" s="79"/>
      <c r="AI232" s="79"/>
      <c r="AJ232" s="79"/>
      <c r="AK232" s="79"/>
      <c r="AL232" s="79"/>
      <c r="AM232" s="79"/>
      <c r="AN232" s="79"/>
      <c r="AO232" s="79"/>
      <c r="AP232" s="79"/>
      <c r="AQ232" s="79"/>
      <c r="AR232" s="79"/>
      <c r="AS232" s="79"/>
      <c r="AT232" s="79"/>
      <c r="AU232" s="79"/>
      <c r="AV232" s="79"/>
      <c r="AW232" s="79"/>
      <c r="AX232" s="79"/>
      <c r="AY232" s="79"/>
      <c r="AZ232" s="79"/>
      <c r="BA232" s="79"/>
      <c r="BB232" s="79"/>
      <c r="BC232" s="79"/>
      <c r="BD232" s="79"/>
      <c r="BE232" s="79"/>
      <c r="BF232" s="79"/>
      <c r="BG232" s="79"/>
      <c r="BH232" s="79"/>
    </row>
    <row r="233" spans="1:60" x14ac:dyDescent="0.25">
      <c r="A233" s="79"/>
      <c r="J233" s="79"/>
      <c r="K233" s="79"/>
      <c r="L233" s="79"/>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79"/>
      <c r="AL233" s="79"/>
      <c r="AM233" s="79"/>
      <c r="AN233" s="79"/>
      <c r="AO233" s="79"/>
      <c r="AP233" s="79"/>
      <c r="AQ233" s="79"/>
      <c r="AR233" s="79"/>
      <c r="AS233" s="79"/>
      <c r="AT233" s="79"/>
      <c r="AU233" s="79"/>
      <c r="AV233" s="79"/>
      <c r="AW233" s="79"/>
      <c r="AX233" s="79"/>
      <c r="AY233" s="79"/>
      <c r="AZ233" s="79"/>
      <c r="BA233" s="79"/>
      <c r="BB233" s="79"/>
      <c r="BC233" s="79"/>
      <c r="BD233" s="79"/>
      <c r="BE233" s="79"/>
      <c r="BF233" s="79"/>
      <c r="BG233" s="79"/>
      <c r="BH233" s="79"/>
    </row>
    <row r="234" spans="1:60" x14ac:dyDescent="0.25">
      <c r="A234" s="79"/>
      <c r="J234" s="79"/>
      <c r="K234" s="79"/>
      <c r="L234" s="79"/>
      <c r="M234" s="79"/>
      <c r="N234" s="79"/>
      <c r="O234" s="79"/>
      <c r="P234" s="79"/>
      <c r="Q234" s="79"/>
      <c r="R234" s="79"/>
      <c r="S234" s="79"/>
      <c r="T234" s="79"/>
      <c r="U234" s="79"/>
      <c r="V234" s="79"/>
      <c r="W234" s="79"/>
      <c r="X234" s="79"/>
      <c r="Y234" s="79"/>
      <c r="Z234" s="79"/>
      <c r="AA234" s="79"/>
      <c r="AB234" s="79"/>
      <c r="AC234" s="79"/>
      <c r="AD234" s="79"/>
      <c r="AE234" s="79"/>
      <c r="AF234" s="79"/>
      <c r="AG234" s="79"/>
      <c r="AH234" s="79"/>
      <c r="AI234" s="79"/>
      <c r="AJ234" s="79"/>
      <c r="AK234" s="79"/>
      <c r="AL234" s="79"/>
      <c r="AM234" s="79"/>
      <c r="AN234" s="79"/>
      <c r="AO234" s="79"/>
      <c r="AP234" s="79"/>
      <c r="AQ234" s="79"/>
      <c r="AR234" s="79"/>
      <c r="AS234" s="79"/>
      <c r="AT234" s="79"/>
      <c r="AU234" s="79"/>
      <c r="AV234" s="79"/>
      <c r="AW234" s="79"/>
      <c r="AX234" s="79"/>
      <c r="AY234" s="79"/>
      <c r="AZ234" s="79"/>
      <c r="BA234" s="79"/>
      <c r="BB234" s="79"/>
      <c r="BC234" s="79"/>
      <c r="BD234" s="79"/>
      <c r="BE234" s="79"/>
      <c r="BF234" s="79"/>
      <c r="BG234" s="79"/>
      <c r="BH234" s="79"/>
    </row>
    <row r="235" spans="1:60" x14ac:dyDescent="0.25">
      <c r="A235" s="79"/>
      <c r="J235" s="79"/>
      <c r="K235" s="79"/>
      <c r="L235" s="79"/>
      <c r="M235" s="79"/>
      <c r="N235" s="79"/>
      <c r="O235" s="79"/>
      <c r="P235" s="79"/>
      <c r="Q235" s="79"/>
      <c r="R235" s="79"/>
      <c r="S235" s="79"/>
      <c r="T235" s="79"/>
      <c r="U235" s="79"/>
      <c r="V235" s="79"/>
      <c r="W235" s="79"/>
      <c r="X235" s="79"/>
      <c r="Y235" s="79"/>
      <c r="Z235" s="79"/>
      <c r="AA235" s="79"/>
      <c r="AB235" s="79"/>
      <c r="AC235" s="79"/>
      <c r="AD235" s="79"/>
      <c r="AE235" s="79"/>
      <c r="AF235" s="79"/>
      <c r="AG235" s="79"/>
      <c r="AH235" s="79"/>
      <c r="AI235" s="79"/>
      <c r="AJ235" s="79"/>
      <c r="AK235" s="79"/>
      <c r="AL235" s="79"/>
      <c r="AM235" s="79"/>
      <c r="AN235" s="79"/>
      <c r="AO235" s="79"/>
      <c r="AP235" s="79"/>
      <c r="AQ235" s="79"/>
      <c r="AR235" s="79"/>
      <c r="AS235" s="79"/>
      <c r="AT235" s="79"/>
      <c r="AU235" s="79"/>
      <c r="AV235" s="79"/>
      <c r="AW235" s="79"/>
      <c r="AX235" s="79"/>
      <c r="AY235" s="79"/>
      <c r="AZ235" s="79"/>
      <c r="BA235" s="79"/>
      <c r="BB235" s="79"/>
      <c r="BC235" s="79"/>
      <c r="BD235" s="79"/>
      <c r="BE235" s="79"/>
      <c r="BF235" s="79"/>
      <c r="BG235" s="79"/>
      <c r="BH235" s="79"/>
    </row>
    <row r="236" spans="1:60" x14ac:dyDescent="0.25">
      <c r="A236" s="79"/>
      <c r="J236" s="79"/>
      <c r="K236" s="79"/>
      <c r="L236" s="79"/>
      <c r="M236" s="79"/>
      <c r="N236" s="79"/>
      <c r="O236" s="79"/>
      <c r="P236" s="79"/>
      <c r="Q236" s="79"/>
      <c r="R236" s="79"/>
      <c r="S236" s="79"/>
      <c r="T236" s="79"/>
      <c r="U236" s="79"/>
      <c r="V236" s="79"/>
      <c r="W236" s="79"/>
      <c r="X236" s="79"/>
      <c r="Y236" s="79"/>
      <c r="Z236" s="79"/>
      <c r="AA236" s="79"/>
      <c r="AB236" s="79"/>
      <c r="AC236" s="79"/>
      <c r="AD236" s="79"/>
      <c r="AE236" s="79"/>
      <c r="AF236" s="79"/>
      <c r="AG236" s="79"/>
      <c r="AH236" s="79"/>
      <c r="AI236" s="79"/>
      <c r="AJ236" s="79"/>
      <c r="AK236" s="79"/>
      <c r="AL236" s="79"/>
      <c r="AM236" s="79"/>
      <c r="AN236" s="79"/>
      <c r="AO236" s="79"/>
      <c r="AP236" s="79"/>
      <c r="AQ236" s="79"/>
      <c r="AR236" s="79"/>
      <c r="AS236" s="79"/>
      <c r="AT236" s="79"/>
      <c r="AU236" s="79"/>
      <c r="AV236" s="79"/>
      <c r="AW236" s="79"/>
      <c r="AX236" s="79"/>
      <c r="AY236" s="79"/>
      <c r="AZ236" s="79"/>
      <c r="BA236" s="79"/>
      <c r="BB236" s="79"/>
      <c r="BC236" s="79"/>
      <c r="BD236" s="79"/>
      <c r="BE236" s="79"/>
      <c r="BF236" s="79"/>
      <c r="BG236" s="79"/>
      <c r="BH236" s="79"/>
    </row>
    <row r="237" spans="1:60" x14ac:dyDescent="0.25">
      <c r="A237" s="79"/>
      <c r="J237" s="79"/>
      <c r="K237" s="79"/>
      <c r="L237" s="79"/>
      <c r="M237" s="79"/>
      <c r="N237" s="79"/>
      <c r="O237" s="79"/>
      <c r="P237" s="79"/>
      <c r="Q237" s="79"/>
      <c r="R237" s="79"/>
      <c r="S237" s="79"/>
      <c r="T237" s="79"/>
      <c r="U237" s="79"/>
      <c r="V237" s="79"/>
      <c r="W237" s="79"/>
      <c r="X237" s="79"/>
      <c r="Y237" s="79"/>
      <c r="Z237" s="79"/>
      <c r="AA237" s="79"/>
      <c r="AB237" s="79"/>
      <c r="AC237" s="79"/>
      <c r="AD237" s="79"/>
      <c r="AE237" s="79"/>
      <c r="AF237" s="79"/>
      <c r="AG237" s="79"/>
      <c r="AH237" s="79"/>
      <c r="AI237" s="79"/>
      <c r="AJ237" s="79"/>
      <c r="AK237" s="79"/>
      <c r="AL237" s="79"/>
      <c r="AM237" s="79"/>
      <c r="AN237" s="79"/>
      <c r="AO237" s="79"/>
      <c r="AP237" s="79"/>
      <c r="AQ237" s="79"/>
      <c r="AR237" s="79"/>
      <c r="AS237" s="79"/>
      <c r="AT237" s="79"/>
      <c r="AU237" s="79"/>
      <c r="AV237" s="79"/>
      <c r="AW237" s="79"/>
      <c r="AX237" s="79"/>
      <c r="AY237" s="79"/>
      <c r="AZ237" s="79"/>
      <c r="BA237" s="79"/>
      <c r="BB237" s="79"/>
      <c r="BC237" s="79"/>
      <c r="BD237" s="79"/>
      <c r="BE237" s="79"/>
      <c r="BF237" s="79"/>
      <c r="BG237" s="79"/>
      <c r="BH237" s="79"/>
    </row>
    <row r="238" spans="1:60" x14ac:dyDescent="0.25">
      <c r="A238" s="79"/>
      <c r="J238" s="79"/>
      <c r="K238" s="79"/>
      <c r="L238" s="79"/>
      <c r="M238" s="79"/>
      <c r="N238" s="79"/>
      <c r="O238" s="79"/>
      <c r="P238" s="79"/>
      <c r="Q238" s="79"/>
      <c r="R238" s="79"/>
      <c r="S238" s="79"/>
      <c r="T238" s="79"/>
      <c r="U238" s="79"/>
      <c r="V238" s="79"/>
      <c r="W238" s="79"/>
      <c r="X238" s="79"/>
      <c r="Y238" s="79"/>
      <c r="Z238" s="79"/>
      <c r="AA238" s="79"/>
      <c r="AB238" s="79"/>
      <c r="AC238" s="79"/>
      <c r="AD238" s="79"/>
      <c r="AE238" s="79"/>
      <c r="AF238" s="79"/>
      <c r="AG238" s="79"/>
      <c r="AH238" s="79"/>
      <c r="AI238" s="79"/>
      <c r="AJ238" s="79"/>
      <c r="AK238" s="79"/>
      <c r="AL238" s="79"/>
      <c r="AM238" s="79"/>
      <c r="AN238" s="79"/>
      <c r="AO238" s="79"/>
      <c r="AP238" s="79"/>
      <c r="AQ238" s="79"/>
      <c r="AR238" s="79"/>
      <c r="AS238" s="79"/>
      <c r="AT238" s="79"/>
      <c r="AU238" s="79"/>
      <c r="AV238" s="79"/>
      <c r="AW238" s="79"/>
      <c r="AX238" s="79"/>
      <c r="AY238" s="79"/>
      <c r="AZ238" s="79"/>
      <c r="BA238" s="79"/>
      <c r="BB238" s="79"/>
      <c r="BC238" s="79"/>
      <c r="BD238" s="79"/>
      <c r="BE238" s="79"/>
      <c r="BF238" s="79"/>
      <c r="BG238" s="79"/>
      <c r="BH238" s="79"/>
    </row>
    <row r="239" spans="1:60" x14ac:dyDescent="0.25">
      <c r="A239" s="79"/>
      <c r="J239" s="79"/>
      <c r="K239" s="79"/>
      <c r="L239" s="79"/>
      <c r="M239" s="79"/>
      <c r="N239" s="79"/>
      <c r="O239" s="79"/>
      <c r="P239" s="79"/>
      <c r="Q239" s="79"/>
      <c r="R239" s="79"/>
      <c r="S239" s="79"/>
      <c r="T239" s="79"/>
      <c r="U239" s="79"/>
      <c r="V239" s="79"/>
      <c r="W239" s="79"/>
      <c r="X239" s="79"/>
      <c r="Y239" s="79"/>
      <c r="Z239" s="79"/>
      <c r="AA239" s="79"/>
      <c r="AB239" s="79"/>
      <c r="AC239" s="79"/>
      <c r="AD239" s="79"/>
      <c r="AE239" s="79"/>
      <c r="AF239" s="79"/>
      <c r="AG239" s="79"/>
      <c r="AH239" s="79"/>
      <c r="AI239" s="79"/>
      <c r="AJ239" s="79"/>
      <c r="AK239" s="79"/>
      <c r="AL239" s="79"/>
      <c r="AM239" s="79"/>
      <c r="AN239" s="79"/>
      <c r="AO239" s="79"/>
      <c r="AP239" s="79"/>
      <c r="AQ239" s="79"/>
      <c r="AR239" s="79"/>
      <c r="AS239" s="79"/>
      <c r="AT239" s="79"/>
      <c r="AU239" s="79"/>
      <c r="AV239" s="79"/>
      <c r="AW239" s="79"/>
      <c r="AX239" s="79"/>
      <c r="AY239" s="79"/>
      <c r="AZ239" s="79"/>
      <c r="BA239" s="79"/>
      <c r="BB239" s="79"/>
      <c r="BC239" s="79"/>
      <c r="BD239" s="79"/>
      <c r="BE239" s="79"/>
      <c r="BF239" s="79"/>
      <c r="BG239" s="79"/>
      <c r="BH239" s="79"/>
    </row>
    <row r="240" spans="1:60" x14ac:dyDescent="0.25">
      <c r="A240" s="79"/>
      <c r="J240" s="79"/>
      <c r="K240" s="79"/>
      <c r="L240" s="79"/>
      <c r="M240" s="79"/>
      <c r="N240" s="79"/>
      <c r="O240" s="79"/>
      <c r="P240" s="79"/>
      <c r="Q240" s="79"/>
      <c r="R240" s="79"/>
      <c r="S240" s="79"/>
      <c r="T240" s="79"/>
      <c r="U240" s="79"/>
      <c r="V240" s="79"/>
      <c r="W240" s="79"/>
      <c r="X240" s="79"/>
      <c r="Y240" s="79"/>
      <c r="Z240" s="79"/>
      <c r="AA240" s="79"/>
      <c r="AB240" s="79"/>
      <c r="AC240" s="79"/>
      <c r="AD240" s="79"/>
      <c r="AE240" s="79"/>
      <c r="AF240" s="79"/>
      <c r="AG240" s="79"/>
      <c r="AH240" s="79"/>
      <c r="AI240" s="79"/>
      <c r="AJ240" s="79"/>
      <c r="AK240" s="79"/>
      <c r="AL240" s="79"/>
      <c r="AM240" s="79"/>
      <c r="AN240" s="79"/>
      <c r="AO240" s="79"/>
      <c r="AP240" s="79"/>
      <c r="AQ240" s="79"/>
      <c r="AR240" s="79"/>
      <c r="AS240" s="79"/>
      <c r="AT240" s="79"/>
      <c r="AU240" s="79"/>
      <c r="AV240" s="79"/>
      <c r="AW240" s="79"/>
      <c r="AX240" s="79"/>
      <c r="AY240" s="79"/>
      <c r="AZ240" s="79"/>
      <c r="BA240" s="79"/>
      <c r="BB240" s="79"/>
      <c r="BC240" s="79"/>
      <c r="BD240" s="79"/>
      <c r="BE240" s="79"/>
      <c r="BF240" s="79"/>
      <c r="BG240" s="79"/>
      <c r="BH240" s="79"/>
    </row>
    <row r="241" spans="1:60" x14ac:dyDescent="0.25">
      <c r="A241" s="79"/>
      <c r="J241" s="79"/>
      <c r="K241" s="79"/>
      <c r="L241" s="79"/>
      <c r="M241" s="79"/>
      <c r="N241" s="79"/>
      <c r="O241" s="79"/>
      <c r="P241" s="79"/>
      <c r="Q241" s="79"/>
      <c r="R241" s="79"/>
      <c r="S241" s="79"/>
      <c r="T241" s="79"/>
      <c r="U241" s="79"/>
      <c r="V241" s="79"/>
      <c r="W241" s="79"/>
      <c r="X241" s="79"/>
      <c r="Y241" s="79"/>
      <c r="Z241" s="79"/>
      <c r="AA241" s="79"/>
      <c r="AB241" s="79"/>
      <c r="AC241" s="79"/>
      <c r="AD241" s="79"/>
      <c r="AE241" s="79"/>
      <c r="AF241" s="79"/>
      <c r="AG241" s="79"/>
      <c r="AH241" s="79"/>
      <c r="AI241" s="79"/>
      <c r="AJ241" s="79"/>
      <c r="AK241" s="79"/>
      <c r="AL241" s="79"/>
      <c r="AM241" s="79"/>
      <c r="AN241" s="79"/>
      <c r="AO241" s="79"/>
      <c r="AP241" s="79"/>
      <c r="AQ241" s="79"/>
      <c r="AR241" s="79"/>
      <c r="AS241" s="79"/>
      <c r="AT241" s="79"/>
      <c r="AU241" s="79"/>
      <c r="AV241" s="79"/>
      <c r="AW241" s="79"/>
      <c r="AX241" s="79"/>
      <c r="AY241" s="79"/>
      <c r="AZ241" s="79"/>
      <c r="BA241" s="79"/>
      <c r="BB241" s="79"/>
      <c r="BC241" s="79"/>
      <c r="BD241" s="79"/>
      <c r="BE241" s="79"/>
      <c r="BF241" s="79"/>
      <c r="BG241" s="79"/>
      <c r="BH241" s="79"/>
    </row>
    <row r="242" spans="1:60" x14ac:dyDescent="0.25">
      <c r="A242" s="79"/>
      <c r="J242" s="79"/>
      <c r="K242" s="79"/>
      <c r="L242" s="79"/>
      <c r="M242" s="79"/>
      <c r="N242" s="79"/>
      <c r="O242" s="79"/>
      <c r="P242" s="79"/>
      <c r="Q242" s="79"/>
      <c r="R242" s="79"/>
      <c r="S242" s="79"/>
      <c r="T242" s="79"/>
      <c r="U242" s="79"/>
      <c r="V242" s="79"/>
      <c r="W242" s="79"/>
      <c r="X242" s="79"/>
      <c r="Y242" s="79"/>
      <c r="Z242" s="79"/>
      <c r="AA242" s="79"/>
      <c r="AB242" s="79"/>
      <c r="AC242" s="79"/>
      <c r="AD242" s="79"/>
      <c r="AE242" s="79"/>
      <c r="AF242" s="79"/>
      <c r="AG242" s="79"/>
      <c r="AH242" s="79"/>
      <c r="AI242" s="79"/>
      <c r="AJ242" s="79"/>
      <c r="AK242" s="79"/>
      <c r="AL242" s="79"/>
      <c r="AM242" s="79"/>
      <c r="AN242" s="79"/>
      <c r="AO242" s="79"/>
      <c r="AP242" s="79"/>
      <c r="AQ242" s="79"/>
      <c r="AR242" s="79"/>
      <c r="AS242" s="79"/>
      <c r="AT242" s="79"/>
      <c r="AU242" s="79"/>
      <c r="AV242" s="79"/>
      <c r="AW242" s="79"/>
      <c r="AX242" s="79"/>
      <c r="AY242" s="79"/>
      <c r="AZ242" s="79"/>
      <c r="BA242" s="79"/>
      <c r="BB242" s="79"/>
      <c r="BC242" s="79"/>
      <c r="BD242" s="79"/>
      <c r="BE242" s="79"/>
      <c r="BF242" s="79"/>
      <c r="BG242" s="79"/>
      <c r="BH242" s="79"/>
    </row>
    <row r="243" spans="1:60" x14ac:dyDescent="0.25">
      <c r="A243" s="79"/>
      <c r="J243" s="79"/>
      <c r="K243" s="79"/>
      <c r="L243" s="79"/>
      <c r="M243" s="79"/>
      <c r="N243" s="79"/>
      <c r="O243" s="79"/>
      <c r="P243" s="79"/>
      <c r="Q243" s="79"/>
      <c r="R243" s="79"/>
      <c r="S243" s="79"/>
      <c r="T243" s="79"/>
      <c r="U243" s="79"/>
      <c r="V243" s="79"/>
      <c r="W243" s="79"/>
      <c r="X243" s="79"/>
      <c r="Y243" s="79"/>
      <c r="Z243" s="79"/>
      <c r="AA243" s="79"/>
      <c r="AB243" s="79"/>
      <c r="AC243" s="79"/>
      <c r="AD243" s="79"/>
      <c r="AE243" s="79"/>
      <c r="AF243" s="79"/>
      <c r="AG243" s="79"/>
      <c r="AH243" s="79"/>
      <c r="AI243" s="79"/>
      <c r="AJ243" s="79"/>
      <c r="AK243" s="79"/>
      <c r="AL243" s="79"/>
      <c r="AM243" s="79"/>
      <c r="AN243" s="79"/>
      <c r="AO243" s="79"/>
      <c r="AP243" s="79"/>
      <c r="AQ243" s="79"/>
      <c r="AR243" s="79"/>
      <c r="AS243" s="79"/>
      <c r="AT243" s="79"/>
      <c r="AU243" s="79"/>
      <c r="AV243" s="79"/>
      <c r="AW243" s="79"/>
      <c r="AX243" s="79"/>
      <c r="AY243" s="79"/>
      <c r="AZ243" s="79"/>
      <c r="BA243" s="79"/>
      <c r="BB243" s="79"/>
      <c r="BC243" s="79"/>
      <c r="BD243" s="79"/>
      <c r="BE243" s="79"/>
      <c r="BF243" s="79"/>
      <c r="BG243" s="79"/>
      <c r="BH243" s="79"/>
    </row>
    <row r="244" spans="1:60" x14ac:dyDescent="0.25">
      <c r="A244" s="79"/>
      <c r="J244" s="79"/>
      <c r="K244" s="79"/>
      <c r="L244" s="79"/>
      <c r="M244" s="79"/>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79"/>
      <c r="AL244" s="79"/>
      <c r="AM244" s="79"/>
      <c r="AN244" s="79"/>
      <c r="AO244" s="79"/>
      <c r="AP244" s="79"/>
      <c r="AQ244" s="79"/>
      <c r="AR244" s="79"/>
      <c r="AS244" s="79"/>
      <c r="AT244" s="79"/>
      <c r="AU244" s="79"/>
      <c r="AV244" s="79"/>
      <c r="AW244" s="79"/>
      <c r="AX244" s="79"/>
      <c r="AY244" s="79"/>
      <c r="AZ244" s="79"/>
      <c r="BA244" s="79"/>
      <c r="BB244" s="79"/>
      <c r="BC244" s="79"/>
      <c r="BD244" s="79"/>
      <c r="BE244" s="79"/>
      <c r="BF244" s="79"/>
      <c r="BG244" s="79"/>
      <c r="BH244" s="79"/>
    </row>
    <row r="245" spans="1:60" x14ac:dyDescent="0.25">
      <c r="A245" s="79"/>
    </row>
    <row r="246" spans="1:60" x14ac:dyDescent="0.25">
      <c r="A246" s="79"/>
    </row>
    <row r="247" spans="1:60" x14ac:dyDescent="0.25">
      <c r="A247" s="79"/>
    </row>
    <row r="248" spans="1:60" x14ac:dyDescent="0.25">
      <c r="A248" s="79"/>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79"/>
      <c r="B1" s="494" t="s">
        <v>55</v>
      </c>
      <c r="C1" s="494"/>
      <c r="D1" s="494"/>
      <c r="E1" s="79"/>
      <c r="F1" s="79"/>
      <c r="G1" s="79"/>
      <c r="H1" s="79"/>
      <c r="I1" s="79"/>
      <c r="J1" s="79"/>
      <c r="K1" s="79"/>
      <c r="L1" s="79"/>
      <c r="M1" s="79"/>
      <c r="N1" s="79"/>
      <c r="O1" s="79"/>
      <c r="P1" s="79"/>
      <c r="Q1" s="79"/>
      <c r="R1" s="79"/>
      <c r="S1" s="79"/>
      <c r="T1" s="79"/>
      <c r="U1" s="79"/>
      <c r="V1" s="79"/>
      <c r="W1" s="79"/>
      <c r="X1" s="79"/>
      <c r="Y1" s="79"/>
      <c r="Z1" s="79"/>
      <c r="AA1" s="79"/>
      <c r="AB1" s="79"/>
      <c r="AC1" s="79"/>
      <c r="AD1" s="79"/>
      <c r="AE1" s="79"/>
    </row>
    <row r="2" spans="1:37" x14ac:dyDescent="0.25">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row>
    <row r="3" spans="1:37" ht="25.5" x14ac:dyDescent="0.25">
      <c r="A3" s="79"/>
      <c r="B3" s="9"/>
      <c r="C3" s="10" t="s">
        <v>52</v>
      </c>
      <c r="D3" s="10" t="s">
        <v>4</v>
      </c>
      <c r="E3" s="79"/>
      <c r="F3" s="79"/>
      <c r="G3" s="79"/>
      <c r="H3" s="79"/>
      <c r="I3" s="79"/>
      <c r="J3" s="79"/>
      <c r="K3" s="79"/>
      <c r="L3" s="79"/>
      <c r="M3" s="79"/>
      <c r="N3" s="79"/>
      <c r="O3" s="79"/>
      <c r="P3" s="79"/>
      <c r="Q3" s="79"/>
      <c r="R3" s="79"/>
      <c r="S3" s="79"/>
      <c r="T3" s="79"/>
      <c r="U3" s="79"/>
      <c r="V3" s="79"/>
      <c r="W3" s="79"/>
      <c r="X3" s="79"/>
      <c r="Y3" s="79"/>
      <c r="Z3" s="79"/>
      <c r="AA3" s="79"/>
      <c r="AB3" s="79"/>
      <c r="AC3" s="79"/>
      <c r="AD3" s="79"/>
      <c r="AE3" s="79"/>
    </row>
    <row r="4" spans="1:37" ht="51" x14ac:dyDescent="0.25">
      <c r="A4" s="79"/>
      <c r="B4" s="11" t="s">
        <v>51</v>
      </c>
      <c r="C4" s="12" t="s">
        <v>102</v>
      </c>
      <c r="D4" s="13">
        <v>0.2</v>
      </c>
      <c r="E4" s="79"/>
      <c r="F4" s="79"/>
      <c r="G4" s="79"/>
      <c r="H4" s="79"/>
      <c r="I4" s="79"/>
      <c r="J4" s="79"/>
      <c r="K4" s="79"/>
      <c r="L4" s="79"/>
      <c r="M4" s="79"/>
      <c r="N4" s="79"/>
      <c r="O4" s="79"/>
      <c r="P4" s="79"/>
      <c r="Q4" s="79"/>
      <c r="R4" s="79"/>
      <c r="S4" s="79"/>
      <c r="T4" s="79"/>
      <c r="U4" s="79"/>
      <c r="V4" s="79"/>
      <c r="W4" s="79"/>
      <c r="X4" s="79"/>
      <c r="Y4" s="79"/>
      <c r="Z4" s="79"/>
      <c r="AA4" s="79"/>
      <c r="AB4" s="79"/>
      <c r="AC4" s="79"/>
      <c r="AD4" s="79"/>
      <c r="AE4" s="79"/>
    </row>
    <row r="5" spans="1:37" ht="51" x14ac:dyDescent="0.25">
      <c r="A5" s="79"/>
      <c r="B5" s="14" t="s">
        <v>53</v>
      </c>
      <c r="C5" s="15" t="s">
        <v>103</v>
      </c>
      <c r="D5" s="16">
        <v>0.4</v>
      </c>
      <c r="E5" s="79"/>
      <c r="F5" s="79"/>
      <c r="G5" s="79"/>
      <c r="H5" s="79"/>
      <c r="I5" s="79"/>
      <c r="J5" s="79"/>
      <c r="K5" s="79"/>
      <c r="L5" s="79"/>
      <c r="M5" s="79"/>
      <c r="N5" s="79"/>
      <c r="O5" s="79"/>
      <c r="P5" s="79"/>
      <c r="Q5" s="79"/>
      <c r="R5" s="79"/>
      <c r="S5" s="79"/>
      <c r="T5" s="79"/>
      <c r="U5" s="79"/>
      <c r="V5" s="79"/>
      <c r="W5" s="79"/>
      <c r="X5" s="79"/>
      <c r="Y5" s="79"/>
      <c r="Z5" s="79"/>
      <c r="AA5" s="79"/>
      <c r="AB5" s="79"/>
      <c r="AC5" s="79"/>
      <c r="AD5" s="79"/>
      <c r="AE5" s="79"/>
    </row>
    <row r="6" spans="1:37" ht="51" x14ac:dyDescent="0.25">
      <c r="A6" s="79"/>
      <c r="B6" s="17" t="s">
        <v>107</v>
      </c>
      <c r="C6" s="15" t="s">
        <v>104</v>
      </c>
      <c r="D6" s="16">
        <v>0.6</v>
      </c>
      <c r="E6" s="79"/>
      <c r="F6" s="79"/>
      <c r="G6" s="79"/>
      <c r="H6" s="79"/>
      <c r="I6" s="79"/>
      <c r="J6" s="79"/>
      <c r="K6" s="79"/>
      <c r="L6" s="79"/>
      <c r="M6" s="79"/>
      <c r="N6" s="79"/>
      <c r="O6" s="79"/>
      <c r="P6" s="79"/>
      <c r="Q6" s="79"/>
      <c r="R6" s="79"/>
      <c r="S6" s="79"/>
      <c r="T6" s="79"/>
      <c r="U6" s="79"/>
      <c r="V6" s="79"/>
      <c r="W6" s="79"/>
      <c r="X6" s="79"/>
      <c r="Y6" s="79"/>
      <c r="Z6" s="79"/>
      <c r="AA6" s="79"/>
      <c r="AB6" s="79"/>
      <c r="AC6" s="79"/>
      <c r="AD6" s="79"/>
      <c r="AE6" s="79"/>
    </row>
    <row r="7" spans="1:37" ht="76.5" x14ac:dyDescent="0.25">
      <c r="A7" s="79"/>
      <c r="B7" s="18" t="s">
        <v>6</v>
      </c>
      <c r="C7" s="15" t="s">
        <v>105</v>
      </c>
      <c r="D7" s="16">
        <v>0.8</v>
      </c>
      <c r="E7" s="79"/>
      <c r="F7" s="79"/>
      <c r="G7" s="79"/>
      <c r="H7" s="79"/>
      <c r="I7" s="79"/>
      <c r="J7" s="79"/>
      <c r="K7" s="79"/>
      <c r="L7" s="79"/>
      <c r="M7" s="79"/>
      <c r="N7" s="79"/>
      <c r="O7" s="79"/>
      <c r="P7" s="79"/>
      <c r="Q7" s="79"/>
      <c r="R7" s="79"/>
      <c r="S7" s="79"/>
      <c r="T7" s="79"/>
      <c r="U7" s="79"/>
      <c r="V7" s="79"/>
      <c r="W7" s="79"/>
      <c r="X7" s="79"/>
      <c r="Y7" s="79"/>
      <c r="Z7" s="79"/>
      <c r="AA7" s="79"/>
      <c r="AB7" s="79"/>
      <c r="AC7" s="79"/>
      <c r="AD7" s="79"/>
      <c r="AE7" s="79"/>
    </row>
    <row r="8" spans="1:37" ht="51" x14ac:dyDescent="0.25">
      <c r="A8" s="79"/>
      <c r="B8" s="19" t="s">
        <v>54</v>
      </c>
      <c r="C8" s="15" t="s">
        <v>106</v>
      </c>
      <c r="D8" s="16">
        <v>1</v>
      </c>
      <c r="E8" s="79"/>
      <c r="F8" s="79"/>
      <c r="G8" s="79"/>
      <c r="H8" s="79"/>
      <c r="I8" s="79"/>
      <c r="J8" s="79"/>
      <c r="K8" s="79"/>
      <c r="L8" s="79"/>
      <c r="M8" s="79"/>
      <c r="N8" s="79"/>
      <c r="O8" s="79"/>
      <c r="P8" s="79"/>
      <c r="Q8" s="79"/>
      <c r="R8" s="79"/>
      <c r="S8" s="79"/>
      <c r="T8" s="79"/>
      <c r="U8" s="79"/>
      <c r="V8" s="79"/>
      <c r="W8" s="79"/>
      <c r="X8" s="79"/>
      <c r="Y8" s="79"/>
      <c r="Z8" s="79"/>
      <c r="AA8" s="79"/>
      <c r="AB8" s="79"/>
      <c r="AC8" s="79"/>
      <c r="AD8" s="79"/>
      <c r="AE8" s="79"/>
    </row>
    <row r="9" spans="1:37" x14ac:dyDescent="0.25">
      <c r="A9" s="79"/>
      <c r="B9" s="103"/>
      <c r="C9" s="103"/>
      <c r="D9" s="103"/>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row>
    <row r="10" spans="1:37" ht="16.5" x14ac:dyDescent="0.25">
      <c r="A10" s="79"/>
      <c r="B10" s="104"/>
      <c r="C10" s="103"/>
      <c r="D10" s="103"/>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row>
    <row r="11" spans="1:37" x14ac:dyDescent="0.25">
      <c r="A11" s="79"/>
      <c r="B11" s="103"/>
      <c r="C11" s="103"/>
      <c r="D11" s="103"/>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row>
    <row r="12" spans="1:37" x14ac:dyDescent="0.25">
      <c r="A12" s="79"/>
      <c r="B12" s="103"/>
      <c r="C12" s="103"/>
      <c r="D12" s="103"/>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row>
    <row r="13" spans="1:37" x14ac:dyDescent="0.25">
      <c r="A13" s="79"/>
      <c r="B13" s="103"/>
      <c r="C13" s="103"/>
      <c r="D13" s="103"/>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row>
    <row r="14" spans="1:37" x14ac:dyDescent="0.25">
      <c r="A14" s="79"/>
      <c r="B14" s="103"/>
      <c r="C14" s="103"/>
      <c r="D14" s="103"/>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row>
    <row r="15" spans="1:37" x14ac:dyDescent="0.25">
      <c r="A15" s="79"/>
      <c r="B15" s="103"/>
      <c r="C15" s="103"/>
      <c r="D15" s="103"/>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row>
    <row r="16" spans="1:37" x14ac:dyDescent="0.25">
      <c r="A16" s="79"/>
      <c r="B16" s="103"/>
      <c r="C16" s="103"/>
      <c r="D16" s="103"/>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row>
    <row r="17" spans="1:37" x14ac:dyDescent="0.25">
      <c r="A17" s="79"/>
      <c r="B17" s="103"/>
      <c r="C17" s="103"/>
      <c r="D17" s="103"/>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row>
    <row r="18" spans="1:37" x14ac:dyDescent="0.25">
      <c r="A18" s="79"/>
      <c r="B18" s="103"/>
      <c r="C18" s="103"/>
      <c r="D18" s="103"/>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row>
    <row r="19" spans="1:37" x14ac:dyDescent="0.25">
      <c r="A19" s="79"/>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row>
    <row r="20" spans="1:37" x14ac:dyDescent="0.25">
      <c r="A20" s="79"/>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row>
    <row r="21" spans="1:37" x14ac:dyDescent="0.25">
      <c r="A21" s="79"/>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row>
    <row r="22" spans="1:37" x14ac:dyDescent="0.25">
      <c r="A22" s="79"/>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row>
    <row r="23" spans="1:37" x14ac:dyDescent="0.25">
      <c r="A23" s="79"/>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row>
    <row r="24" spans="1:37" x14ac:dyDescent="0.25">
      <c r="A24" s="79"/>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row>
    <row r="25" spans="1:37" x14ac:dyDescent="0.25">
      <c r="A25" s="79"/>
      <c r="B25" s="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row>
    <row r="26" spans="1:37" x14ac:dyDescent="0.25">
      <c r="A26" s="79"/>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row>
    <row r="27" spans="1:37" x14ac:dyDescent="0.25">
      <c r="A27" s="79"/>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row>
    <row r="28" spans="1:37" x14ac:dyDescent="0.25">
      <c r="A28" s="79"/>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row>
    <row r="29" spans="1:37" x14ac:dyDescent="0.25">
      <c r="A29" s="79"/>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row>
    <row r="30" spans="1:37" x14ac:dyDescent="0.25">
      <c r="A30" s="79"/>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row>
    <row r="31" spans="1:37" x14ac:dyDescent="0.25">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row>
    <row r="32" spans="1:37" x14ac:dyDescent="0.25">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row>
    <row r="33" spans="1:31" x14ac:dyDescent="0.25">
      <c r="A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row>
    <row r="34" spans="1:31" x14ac:dyDescent="0.25">
      <c r="A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row>
    <row r="35" spans="1:31" x14ac:dyDescent="0.25">
      <c r="A35" s="79"/>
    </row>
    <row r="36" spans="1:31" x14ac:dyDescent="0.25">
      <c r="A36" s="79"/>
    </row>
    <row r="37" spans="1:31" x14ac:dyDescent="0.25">
      <c r="A37" s="79"/>
    </row>
    <row r="38" spans="1:31" x14ac:dyDescent="0.25">
      <c r="A38" s="79"/>
    </row>
    <row r="39" spans="1:31" x14ac:dyDescent="0.25">
      <c r="A39" s="79"/>
    </row>
    <row r="40" spans="1:31" x14ac:dyDescent="0.25">
      <c r="A40" s="79"/>
    </row>
    <row r="41" spans="1:31" x14ac:dyDescent="0.25">
      <c r="A41" s="79"/>
    </row>
    <row r="42" spans="1:31" x14ac:dyDescent="0.25">
      <c r="A42" s="79"/>
    </row>
    <row r="43" spans="1:31" x14ac:dyDescent="0.25">
      <c r="A43" s="79"/>
    </row>
    <row r="44" spans="1:31" x14ac:dyDescent="0.25">
      <c r="A44" s="79"/>
    </row>
    <row r="45" spans="1:31" x14ac:dyDescent="0.25">
      <c r="A45" s="79"/>
    </row>
    <row r="46" spans="1:31" x14ac:dyDescent="0.25">
      <c r="A46" s="79"/>
    </row>
    <row r="47" spans="1:31" x14ac:dyDescent="0.25">
      <c r="A47" s="79"/>
    </row>
    <row r="48" spans="1:31" x14ac:dyDescent="0.25">
      <c r="A48" s="79"/>
    </row>
    <row r="49" spans="1:1" x14ac:dyDescent="0.25">
      <c r="A49" s="79"/>
    </row>
    <row r="50" spans="1:1" x14ac:dyDescent="0.25">
      <c r="A50" s="79"/>
    </row>
    <row r="51" spans="1:1" x14ac:dyDescent="0.25">
      <c r="A51" s="79"/>
    </row>
    <row r="52" spans="1:1" x14ac:dyDescent="0.25">
      <c r="A52" s="79"/>
    </row>
    <row r="53" spans="1:1" x14ac:dyDescent="0.25">
      <c r="A53" s="79"/>
    </row>
    <row r="54" spans="1:1" x14ac:dyDescent="0.25">
      <c r="A54" s="79"/>
    </row>
    <row r="55" spans="1:1" x14ac:dyDescent="0.25">
      <c r="A55" s="79"/>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D4" sqref="D4:D8"/>
    </sheetView>
  </sheetViews>
  <sheetFormatPr baseColWidth="10" defaultRowHeight="15" x14ac:dyDescent="0.25"/>
  <cols>
    <col min="2" max="2" width="40.42578125" customWidth="1"/>
    <col min="3" max="3" width="74.85546875" customWidth="1"/>
    <col min="4" max="4" width="135" bestFit="1" customWidth="1"/>
    <col min="5" max="5" width="144.5703125" bestFit="1" customWidth="1"/>
  </cols>
  <sheetData>
    <row r="1" spans="1:21" ht="33.75" x14ac:dyDescent="0.25">
      <c r="A1" s="79"/>
      <c r="B1" s="495" t="s">
        <v>63</v>
      </c>
      <c r="C1" s="495"/>
      <c r="D1" s="495"/>
      <c r="E1" s="79"/>
      <c r="F1" s="79"/>
      <c r="G1" s="79"/>
      <c r="H1" s="79"/>
      <c r="I1" s="79"/>
      <c r="J1" s="79"/>
      <c r="K1" s="79"/>
      <c r="L1" s="79"/>
      <c r="M1" s="79"/>
      <c r="N1" s="79"/>
      <c r="O1" s="79"/>
      <c r="P1" s="79"/>
      <c r="Q1" s="79"/>
      <c r="R1" s="79"/>
      <c r="S1" s="79"/>
      <c r="T1" s="79"/>
      <c r="U1" s="79"/>
    </row>
    <row r="2" spans="1:21" x14ac:dyDescent="0.25">
      <c r="A2" s="79"/>
      <c r="B2" s="79"/>
      <c r="C2" s="79"/>
      <c r="D2" s="79"/>
      <c r="E2" s="79"/>
      <c r="F2" s="79"/>
      <c r="G2" s="79"/>
      <c r="H2" s="79"/>
      <c r="I2" s="79"/>
      <c r="J2" s="79"/>
      <c r="K2" s="79"/>
      <c r="L2" s="79"/>
      <c r="M2" s="79"/>
      <c r="N2" s="79"/>
      <c r="O2" s="79"/>
      <c r="P2" s="79"/>
      <c r="Q2" s="79"/>
      <c r="R2" s="79"/>
      <c r="S2" s="79"/>
      <c r="T2" s="79"/>
      <c r="U2" s="79"/>
    </row>
    <row r="3" spans="1:21" ht="30" x14ac:dyDescent="0.25">
      <c r="A3" s="79"/>
      <c r="B3" s="100"/>
      <c r="C3" s="32" t="s">
        <v>56</v>
      </c>
      <c r="D3" s="32" t="s">
        <v>57</v>
      </c>
      <c r="E3" s="79"/>
      <c r="F3" s="79"/>
      <c r="G3" s="79"/>
      <c r="H3" s="79"/>
      <c r="I3" s="79"/>
      <c r="J3" s="79"/>
      <c r="K3" s="79"/>
      <c r="L3" s="79"/>
      <c r="M3" s="79"/>
      <c r="N3" s="79"/>
      <c r="O3" s="79"/>
      <c r="P3" s="79"/>
      <c r="Q3" s="79"/>
      <c r="R3" s="79"/>
      <c r="S3" s="79"/>
      <c r="T3" s="79"/>
      <c r="U3" s="79"/>
    </row>
    <row r="4" spans="1:21" ht="33.75" x14ac:dyDescent="0.25">
      <c r="A4" s="99" t="s">
        <v>83</v>
      </c>
      <c r="B4" s="35" t="s">
        <v>101</v>
      </c>
      <c r="C4" s="40" t="s">
        <v>155</v>
      </c>
      <c r="D4" s="33" t="s">
        <v>97</v>
      </c>
      <c r="E4" s="79"/>
      <c r="F4" s="79"/>
      <c r="G4" s="79"/>
      <c r="H4" s="79"/>
      <c r="I4" s="79"/>
      <c r="J4" s="79"/>
      <c r="K4" s="79"/>
      <c r="L4" s="79"/>
      <c r="M4" s="79"/>
      <c r="N4" s="79"/>
      <c r="O4" s="79"/>
      <c r="P4" s="79"/>
      <c r="Q4" s="79"/>
      <c r="R4" s="79"/>
      <c r="S4" s="79"/>
      <c r="T4" s="79"/>
      <c r="U4" s="79"/>
    </row>
    <row r="5" spans="1:21" ht="67.5" x14ac:dyDescent="0.25">
      <c r="A5" s="99" t="s">
        <v>84</v>
      </c>
      <c r="B5" s="36" t="s">
        <v>59</v>
      </c>
      <c r="C5" s="41" t="s">
        <v>93</v>
      </c>
      <c r="D5" s="34" t="s">
        <v>98</v>
      </c>
      <c r="E5" s="79"/>
      <c r="F5" s="79"/>
      <c r="G5" s="79"/>
      <c r="H5" s="79"/>
      <c r="I5" s="79"/>
      <c r="J5" s="79"/>
      <c r="K5" s="79"/>
      <c r="L5" s="79"/>
      <c r="M5" s="79"/>
      <c r="N5" s="79"/>
      <c r="O5" s="79"/>
      <c r="P5" s="79"/>
      <c r="Q5" s="79"/>
      <c r="R5" s="79"/>
      <c r="S5" s="79"/>
      <c r="T5" s="79"/>
      <c r="U5" s="79"/>
    </row>
    <row r="6" spans="1:21" ht="67.5" x14ac:dyDescent="0.25">
      <c r="A6" s="99" t="s">
        <v>81</v>
      </c>
      <c r="B6" s="37" t="s">
        <v>60</v>
      </c>
      <c r="C6" s="41" t="s">
        <v>94</v>
      </c>
      <c r="D6" s="34" t="s">
        <v>100</v>
      </c>
      <c r="E6" s="79"/>
      <c r="F6" s="79"/>
      <c r="G6" s="79"/>
      <c r="H6" s="79"/>
      <c r="I6" s="79"/>
      <c r="J6" s="79"/>
      <c r="K6" s="79"/>
      <c r="L6" s="79"/>
      <c r="M6" s="79"/>
      <c r="N6" s="79"/>
      <c r="O6" s="79"/>
      <c r="P6" s="79"/>
      <c r="Q6" s="79"/>
      <c r="R6" s="79"/>
      <c r="S6" s="79"/>
      <c r="T6" s="79"/>
      <c r="U6" s="79"/>
    </row>
    <row r="7" spans="1:21" ht="101.25" x14ac:dyDescent="0.25">
      <c r="A7" s="99" t="s">
        <v>7</v>
      </c>
      <c r="B7" s="38" t="s">
        <v>61</v>
      </c>
      <c r="C7" s="41" t="s">
        <v>95</v>
      </c>
      <c r="D7" s="34" t="s">
        <v>99</v>
      </c>
      <c r="E7" s="79"/>
      <c r="F7" s="79"/>
      <c r="G7" s="79"/>
      <c r="H7" s="79"/>
      <c r="I7" s="79"/>
      <c r="J7" s="79"/>
      <c r="K7" s="79"/>
      <c r="L7" s="79"/>
      <c r="M7" s="79"/>
      <c r="N7" s="79"/>
      <c r="O7" s="79"/>
      <c r="P7" s="79"/>
      <c r="Q7" s="79"/>
      <c r="R7" s="79"/>
      <c r="S7" s="79"/>
      <c r="T7" s="79"/>
      <c r="U7" s="79"/>
    </row>
    <row r="8" spans="1:21" ht="67.5" x14ac:dyDescent="0.25">
      <c r="A8" s="99" t="s">
        <v>85</v>
      </c>
      <c r="B8" s="39" t="s">
        <v>62</v>
      </c>
      <c r="C8" s="41" t="s">
        <v>96</v>
      </c>
      <c r="D8" s="34" t="s">
        <v>118</v>
      </c>
      <c r="E8" s="79"/>
      <c r="F8" s="79"/>
      <c r="G8" s="79"/>
      <c r="H8" s="79"/>
      <c r="I8" s="79"/>
      <c r="J8" s="79"/>
      <c r="K8" s="79"/>
      <c r="L8" s="79"/>
      <c r="M8" s="79"/>
      <c r="N8" s="79"/>
      <c r="O8" s="79"/>
      <c r="P8" s="79"/>
      <c r="Q8" s="79"/>
      <c r="R8" s="79"/>
      <c r="S8" s="79"/>
      <c r="T8" s="79"/>
      <c r="U8" s="79"/>
    </row>
    <row r="9" spans="1:21" ht="20.25" x14ac:dyDescent="0.25">
      <c r="A9" s="99"/>
      <c r="B9" s="99"/>
      <c r="C9" s="101"/>
      <c r="D9" s="101"/>
      <c r="E9" s="79"/>
      <c r="F9" s="79"/>
      <c r="G9" s="79"/>
      <c r="H9" s="79"/>
      <c r="I9" s="79"/>
      <c r="J9" s="79"/>
      <c r="K9" s="79"/>
      <c r="L9" s="79"/>
      <c r="M9" s="79"/>
      <c r="N9" s="79"/>
      <c r="O9" s="79"/>
      <c r="P9" s="79"/>
      <c r="Q9" s="79"/>
      <c r="R9" s="79"/>
      <c r="S9" s="79"/>
      <c r="T9" s="79"/>
      <c r="U9" s="79"/>
    </row>
    <row r="10" spans="1:21" ht="16.5" x14ac:dyDescent="0.25">
      <c r="A10" s="99"/>
      <c r="B10" s="102"/>
      <c r="C10" s="102"/>
      <c r="D10" s="102"/>
      <c r="E10" s="79"/>
      <c r="F10" s="79"/>
      <c r="G10" s="79"/>
      <c r="H10" s="79"/>
      <c r="I10" s="79"/>
      <c r="J10" s="79"/>
      <c r="K10" s="79"/>
      <c r="L10" s="79"/>
      <c r="M10" s="79"/>
      <c r="N10" s="79"/>
      <c r="O10" s="79"/>
      <c r="P10" s="79"/>
      <c r="Q10" s="79"/>
      <c r="R10" s="79"/>
      <c r="S10" s="79"/>
      <c r="T10" s="79"/>
      <c r="U10" s="79"/>
    </row>
    <row r="11" spans="1:21" x14ac:dyDescent="0.25">
      <c r="A11" s="99"/>
      <c r="B11" s="99" t="s">
        <v>91</v>
      </c>
      <c r="C11" s="99" t="s">
        <v>143</v>
      </c>
      <c r="D11" s="99" t="s">
        <v>150</v>
      </c>
      <c r="E11" s="79"/>
      <c r="F11" s="79"/>
      <c r="G11" s="79"/>
      <c r="H11" s="79"/>
      <c r="I11" s="79"/>
      <c r="J11" s="79"/>
      <c r="K11" s="79"/>
      <c r="L11" s="79"/>
      <c r="M11" s="79"/>
      <c r="N11" s="79"/>
      <c r="O11" s="79"/>
      <c r="P11" s="79"/>
      <c r="Q11" s="79"/>
      <c r="R11" s="79"/>
      <c r="S11" s="79"/>
      <c r="T11" s="79"/>
      <c r="U11" s="79"/>
    </row>
    <row r="12" spans="1:21" x14ac:dyDescent="0.25">
      <c r="A12" s="99"/>
      <c r="B12" s="99" t="s">
        <v>89</v>
      </c>
      <c r="C12" s="99" t="s">
        <v>147</v>
      </c>
      <c r="D12" s="99" t="s">
        <v>151</v>
      </c>
      <c r="E12" s="79"/>
      <c r="F12" s="79"/>
      <c r="G12" s="79"/>
      <c r="H12" s="79"/>
      <c r="I12" s="79"/>
      <c r="J12" s="79"/>
      <c r="K12" s="79"/>
      <c r="L12" s="79"/>
      <c r="M12" s="79"/>
      <c r="N12" s="79"/>
      <c r="O12" s="79"/>
      <c r="P12" s="79"/>
      <c r="Q12" s="79"/>
      <c r="R12" s="79"/>
      <c r="S12" s="79"/>
      <c r="T12" s="79"/>
      <c r="U12" s="79"/>
    </row>
    <row r="13" spans="1:21" x14ac:dyDescent="0.25">
      <c r="A13" s="99"/>
      <c r="B13" s="99"/>
      <c r="C13" s="99" t="s">
        <v>146</v>
      </c>
      <c r="D13" s="99" t="s">
        <v>152</v>
      </c>
      <c r="E13" s="79"/>
      <c r="F13" s="79"/>
      <c r="G13" s="79"/>
      <c r="H13" s="79"/>
      <c r="I13" s="79"/>
      <c r="J13" s="79"/>
      <c r="K13" s="79"/>
      <c r="L13" s="79"/>
      <c r="M13" s="79"/>
      <c r="N13" s="79"/>
      <c r="O13" s="79"/>
      <c r="P13" s="79"/>
      <c r="Q13" s="79"/>
      <c r="R13" s="79"/>
      <c r="S13" s="79"/>
      <c r="T13" s="79"/>
      <c r="U13" s="79"/>
    </row>
    <row r="14" spans="1:21" x14ac:dyDescent="0.25">
      <c r="A14" s="99"/>
      <c r="B14" s="99"/>
      <c r="C14" s="99" t="s">
        <v>148</v>
      </c>
      <c r="D14" s="99" t="s">
        <v>153</v>
      </c>
      <c r="E14" s="79"/>
      <c r="F14" s="79"/>
      <c r="G14" s="79"/>
      <c r="H14" s="79"/>
      <c r="I14" s="79"/>
      <c r="J14" s="79"/>
      <c r="K14" s="79"/>
      <c r="L14" s="79"/>
      <c r="M14" s="79"/>
      <c r="N14" s="79"/>
      <c r="O14" s="79"/>
      <c r="P14" s="79"/>
      <c r="Q14" s="79"/>
      <c r="R14" s="79"/>
      <c r="S14" s="79"/>
      <c r="T14" s="79"/>
      <c r="U14" s="79"/>
    </row>
    <row r="15" spans="1:21" x14ac:dyDescent="0.25">
      <c r="A15" s="99"/>
      <c r="B15" s="99"/>
      <c r="C15" s="99" t="s">
        <v>149</v>
      </c>
      <c r="D15" s="99" t="s">
        <v>154</v>
      </c>
      <c r="E15" s="79"/>
      <c r="F15" s="79"/>
      <c r="G15" s="79"/>
      <c r="H15" s="79"/>
      <c r="I15" s="79"/>
      <c r="J15" s="79"/>
      <c r="K15" s="79"/>
      <c r="L15" s="79"/>
      <c r="M15" s="79"/>
      <c r="N15" s="79"/>
      <c r="O15" s="79"/>
      <c r="P15" s="79"/>
      <c r="Q15" s="79"/>
      <c r="R15" s="79"/>
      <c r="S15" s="79"/>
      <c r="T15" s="79"/>
      <c r="U15" s="79"/>
    </row>
    <row r="16" spans="1:21" x14ac:dyDescent="0.25">
      <c r="A16" s="99"/>
      <c r="B16" s="99"/>
      <c r="C16" s="99"/>
      <c r="D16" s="99"/>
      <c r="E16" s="79"/>
      <c r="F16" s="79"/>
      <c r="G16" s="79"/>
      <c r="H16" s="79"/>
      <c r="I16" s="79"/>
      <c r="J16" s="79"/>
      <c r="K16" s="79"/>
      <c r="L16" s="79"/>
      <c r="M16" s="79"/>
      <c r="N16" s="79"/>
      <c r="O16" s="79"/>
    </row>
    <row r="17" spans="1:15" x14ac:dyDescent="0.25">
      <c r="A17" s="99"/>
      <c r="B17" s="99"/>
      <c r="C17" s="99"/>
      <c r="D17" s="99"/>
      <c r="E17" s="79"/>
      <c r="F17" s="79"/>
      <c r="G17" s="79"/>
      <c r="H17" s="79"/>
      <c r="I17" s="79"/>
      <c r="J17" s="79"/>
      <c r="K17" s="79"/>
      <c r="L17" s="79"/>
      <c r="M17" s="79"/>
      <c r="N17" s="79"/>
      <c r="O17" s="79"/>
    </row>
    <row r="18" spans="1:15" x14ac:dyDescent="0.25">
      <c r="A18" s="99"/>
      <c r="B18" s="103"/>
      <c r="C18" s="103"/>
      <c r="D18" s="103"/>
      <c r="E18" s="79"/>
      <c r="F18" s="79"/>
      <c r="G18" s="79"/>
      <c r="H18" s="79"/>
      <c r="I18" s="79"/>
      <c r="J18" s="79"/>
      <c r="K18" s="79"/>
      <c r="L18" s="79"/>
      <c r="M18" s="79"/>
      <c r="N18" s="79"/>
      <c r="O18" s="79"/>
    </row>
    <row r="19" spans="1:15" x14ac:dyDescent="0.25">
      <c r="A19" s="99"/>
      <c r="B19" s="103"/>
      <c r="C19" s="103"/>
      <c r="D19" s="103"/>
      <c r="E19" s="79"/>
      <c r="F19" s="79"/>
      <c r="G19" s="79"/>
      <c r="H19" s="79"/>
      <c r="I19" s="79"/>
      <c r="J19" s="79"/>
      <c r="K19" s="79"/>
      <c r="L19" s="79"/>
      <c r="M19" s="79"/>
      <c r="N19" s="79"/>
      <c r="O19" s="79"/>
    </row>
    <row r="20" spans="1:15" x14ac:dyDescent="0.25">
      <c r="A20" s="99"/>
      <c r="B20" s="103"/>
      <c r="C20" s="103"/>
      <c r="D20" s="103"/>
      <c r="E20" s="79"/>
      <c r="F20" s="79"/>
      <c r="G20" s="79"/>
      <c r="H20" s="79"/>
      <c r="I20" s="79"/>
      <c r="J20" s="79"/>
      <c r="K20" s="79"/>
      <c r="L20" s="79"/>
      <c r="M20" s="79"/>
      <c r="N20" s="79"/>
      <c r="O20" s="79"/>
    </row>
    <row r="21" spans="1:15" x14ac:dyDescent="0.25">
      <c r="A21" s="99"/>
      <c r="B21" s="103"/>
      <c r="C21" s="103"/>
      <c r="D21" s="103"/>
      <c r="E21" s="79"/>
      <c r="F21" s="79"/>
      <c r="G21" s="79"/>
      <c r="H21" s="79"/>
      <c r="I21" s="79"/>
      <c r="J21" s="79"/>
      <c r="K21" s="79"/>
      <c r="L21" s="79"/>
      <c r="M21" s="79"/>
      <c r="N21" s="79"/>
      <c r="O21" s="79"/>
    </row>
    <row r="22" spans="1:15" ht="20.25" x14ac:dyDescent="0.25">
      <c r="A22" s="99"/>
      <c r="B22" s="99"/>
      <c r="C22" s="101"/>
      <c r="D22" s="101"/>
      <c r="E22" s="79"/>
      <c r="F22" s="79"/>
      <c r="G22" s="79"/>
      <c r="H22" s="79"/>
      <c r="I22" s="79"/>
      <c r="J22" s="79"/>
      <c r="K22" s="79"/>
      <c r="L22" s="79"/>
      <c r="M22" s="79"/>
      <c r="N22" s="79"/>
      <c r="O22" s="79"/>
    </row>
    <row r="23" spans="1:15" ht="20.25" x14ac:dyDescent="0.25">
      <c r="A23" s="99"/>
      <c r="B23" s="99"/>
      <c r="C23" s="101"/>
      <c r="D23" s="101"/>
      <c r="E23" s="79"/>
      <c r="F23" s="79"/>
      <c r="G23" s="79"/>
      <c r="H23" s="79"/>
      <c r="I23" s="79"/>
      <c r="J23" s="79"/>
      <c r="K23" s="79"/>
      <c r="L23" s="79"/>
      <c r="M23" s="79"/>
      <c r="N23" s="79"/>
      <c r="O23" s="79"/>
    </row>
    <row r="24" spans="1:15" ht="20.25" x14ac:dyDescent="0.25">
      <c r="A24" s="99"/>
      <c r="B24" s="99"/>
      <c r="C24" s="101"/>
      <c r="D24" s="101"/>
      <c r="E24" s="79"/>
      <c r="F24" s="79"/>
      <c r="G24" s="79"/>
      <c r="H24" s="79"/>
      <c r="I24" s="79"/>
      <c r="J24" s="79"/>
      <c r="K24" s="79"/>
      <c r="L24" s="79"/>
      <c r="M24" s="79"/>
      <c r="N24" s="79"/>
      <c r="O24" s="79"/>
    </row>
    <row r="25" spans="1:15" ht="20.25" x14ac:dyDescent="0.25">
      <c r="A25" s="99"/>
      <c r="B25" s="99"/>
      <c r="C25" s="101"/>
      <c r="D25" s="101"/>
      <c r="E25" s="79"/>
      <c r="F25" s="79"/>
      <c r="G25" s="79"/>
      <c r="H25" s="79"/>
      <c r="I25" s="79"/>
      <c r="J25" s="79"/>
      <c r="K25" s="79"/>
      <c r="L25" s="79"/>
      <c r="M25" s="79"/>
      <c r="N25" s="79"/>
      <c r="O25" s="79"/>
    </row>
    <row r="26" spans="1:15" ht="20.25" x14ac:dyDescent="0.25">
      <c r="A26" s="99"/>
      <c r="B26" s="99"/>
      <c r="C26" s="101"/>
      <c r="D26" s="101"/>
      <c r="E26" s="79"/>
      <c r="F26" s="79"/>
      <c r="G26" s="79"/>
      <c r="H26" s="79"/>
      <c r="I26" s="79"/>
      <c r="J26" s="79"/>
      <c r="K26" s="79"/>
      <c r="L26" s="79"/>
      <c r="M26" s="79"/>
      <c r="N26" s="79"/>
      <c r="O26" s="79"/>
    </row>
    <row r="27" spans="1:15" ht="20.25" x14ac:dyDescent="0.25">
      <c r="A27" s="99"/>
      <c r="B27" s="99"/>
      <c r="C27" s="101"/>
      <c r="D27" s="101"/>
      <c r="E27" s="79"/>
      <c r="F27" s="79"/>
      <c r="G27" s="79"/>
      <c r="H27" s="79"/>
      <c r="I27" s="79"/>
      <c r="J27" s="79"/>
      <c r="K27" s="79"/>
      <c r="L27" s="79"/>
      <c r="M27" s="79"/>
      <c r="N27" s="79"/>
      <c r="O27" s="79"/>
    </row>
    <row r="28" spans="1:15" ht="20.25" x14ac:dyDescent="0.25">
      <c r="A28" s="99"/>
      <c r="B28" s="99"/>
      <c r="C28" s="101"/>
      <c r="D28" s="101"/>
      <c r="E28" s="79"/>
      <c r="F28" s="79"/>
      <c r="G28" s="79"/>
      <c r="H28" s="79"/>
      <c r="I28" s="79"/>
      <c r="J28" s="79"/>
      <c r="K28" s="79"/>
      <c r="L28" s="79"/>
      <c r="M28" s="79"/>
      <c r="N28" s="79"/>
      <c r="O28" s="79"/>
    </row>
    <row r="29" spans="1:15" ht="20.25" x14ac:dyDescent="0.25">
      <c r="A29" s="99"/>
      <c r="B29" s="99"/>
      <c r="C29" s="101"/>
      <c r="D29" s="101"/>
      <c r="E29" s="79"/>
      <c r="F29" s="79"/>
      <c r="G29" s="79"/>
      <c r="H29" s="79"/>
      <c r="I29" s="79"/>
      <c r="J29" s="79"/>
      <c r="K29" s="79"/>
      <c r="L29" s="79"/>
      <c r="M29" s="79"/>
      <c r="N29" s="79"/>
      <c r="O29" s="79"/>
    </row>
    <row r="30" spans="1:15" ht="20.25" x14ac:dyDescent="0.25">
      <c r="A30" s="99"/>
      <c r="B30" s="99"/>
      <c r="C30" s="101"/>
      <c r="D30" s="101"/>
      <c r="E30" s="79"/>
      <c r="F30" s="79"/>
      <c r="G30" s="79"/>
      <c r="H30" s="79"/>
      <c r="I30" s="79"/>
      <c r="J30" s="79"/>
      <c r="K30" s="79"/>
      <c r="L30" s="79"/>
      <c r="M30" s="79"/>
      <c r="N30" s="79"/>
      <c r="O30" s="79"/>
    </row>
    <row r="31" spans="1:15" ht="20.25" x14ac:dyDescent="0.25">
      <c r="A31" s="99"/>
      <c r="B31" s="99"/>
      <c r="C31" s="101"/>
      <c r="D31" s="101"/>
      <c r="E31" s="79"/>
      <c r="F31" s="79"/>
      <c r="G31" s="79"/>
      <c r="H31" s="79"/>
      <c r="I31" s="79"/>
      <c r="J31" s="79"/>
      <c r="K31" s="79"/>
      <c r="L31" s="79"/>
      <c r="M31" s="79"/>
      <c r="N31" s="79"/>
      <c r="O31" s="79"/>
    </row>
    <row r="32" spans="1:15" ht="20.25" x14ac:dyDescent="0.25">
      <c r="A32" s="99"/>
      <c r="B32" s="99"/>
      <c r="C32" s="101"/>
      <c r="D32" s="101"/>
      <c r="E32" s="79"/>
      <c r="F32" s="79"/>
      <c r="G32" s="79"/>
      <c r="H32" s="79"/>
      <c r="I32" s="79"/>
      <c r="J32" s="79"/>
      <c r="K32" s="79"/>
      <c r="L32" s="79"/>
      <c r="M32" s="79"/>
      <c r="N32" s="79"/>
      <c r="O32" s="79"/>
    </row>
    <row r="33" spans="1:15" ht="20.25" x14ac:dyDescent="0.25">
      <c r="A33" s="99"/>
      <c r="B33" s="99"/>
      <c r="C33" s="101"/>
      <c r="D33" s="101"/>
      <c r="E33" s="79"/>
      <c r="F33" s="79"/>
      <c r="G33" s="79"/>
      <c r="H33" s="79"/>
      <c r="I33" s="79"/>
      <c r="J33" s="79"/>
      <c r="K33" s="79"/>
      <c r="L33" s="79"/>
      <c r="M33" s="79"/>
      <c r="N33" s="79"/>
      <c r="O33" s="79"/>
    </row>
    <row r="34" spans="1:15" ht="20.25" x14ac:dyDescent="0.25">
      <c r="A34" s="99"/>
      <c r="B34" s="99"/>
      <c r="C34" s="101"/>
      <c r="D34" s="101"/>
      <c r="E34" s="79"/>
      <c r="F34" s="79"/>
      <c r="G34" s="79"/>
      <c r="H34" s="79"/>
      <c r="I34" s="79"/>
      <c r="J34" s="79"/>
      <c r="K34" s="79"/>
      <c r="L34" s="79"/>
      <c r="M34" s="79"/>
      <c r="N34" s="79"/>
      <c r="O34" s="79"/>
    </row>
    <row r="35" spans="1:15" ht="20.25" x14ac:dyDescent="0.25">
      <c r="A35" s="99"/>
      <c r="B35" s="99"/>
      <c r="C35" s="101"/>
      <c r="D35" s="101"/>
      <c r="E35" s="79"/>
      <c r="F35" s="79"/>
      <c r="G35" s="79"/>
      <c r="H35" s="79"/>
      <c r="I35" s="79"/>
      <c r="J35" s="79"/>
      <c r="K35" s="79"/>
      <c r="L35" s="79"/>
      <c r="M35" s="79"/>
      <c r="N35" s="79"/>
      <c r="O35" s="79"/>
    </row>
    <row r="36" spans="1:15" ht="20.25" x14ac:dyDescent="0.25">
      <c r="A36" s="99"/>
      <c r="B36" s="99"/>
      <c r="C36" s="101"/>
      <c r="D36" s="101"/>
      <c r="E36" s="79"/>
      <c r="F36" s="79"/>
      <c r="G36" s="79"/>
      <c r="H36" s="79"/>
      <c r="I36" s="79"/>
      <c r="J36" s="79"/>
      <c r="K36" s="79"/>
      <c r="L36" s="79"/>
      <c r="M36" s="79"/>
      <c r="N36" s="79"/>
      <c r="O36" s="79"/>
    </row>
    <row r="37" spans="1:15" ht="20.25" x14ac:dyDescent="0.25">
      <c r="A37" s="99"/>
      <c r="B37" s="99"/>
      <c r="C37" s="101"/>
      <c r="D37" s="101"/>
      <c r="E37" s="79"/>
      <c r="F37" s="79"/>
      <c r="G37" s="79"/>
      <c r="H37" s="79"/>
      <c r="I37" s="79"/>
      <c r="J37" s="79"/>
      <c r="K37" s="79"/>
      <c r="L37" s="79"/>
      <c r="M37" s="79"/>
      <c r="N37" s="79"/>
      <c r="O37" s="79"/>
    </row>
    <row r="38" spans="1:15" ht="20.25" x14ac:dyDescent="0.25">
      <c r="A38" s="99"/>
      <c r="B38" s="99"/>
      <c r="C38" s="101"/>
      <c r="D38" s="101"/>
      <c r="E38" s="79"/>
      <c r="F38" s="79"/>
      <c r="G38" s="79"/>
      <c r="H38" s="79"/>
      <c r="I38" s="79"/>
      <c r="J38" s="79"/>
      <c r="K38" s="79"/>
      <c r="L38" s="79"/>
      <c r="M38" s="79"/>
      <c r="N38" s="79"/>
      <c r="O38" s="79"/>
    </row>
    <row r="39" spans="1:15" ht="20.25" x14ac:dyDescent="0.25">
      <c r="A39" s="99"/>
      <c r="B39" s="99"/>
      <c r="C39" s="101"/>
      <c r="D39" s="101"/>
      <c r="E39" s="79"/>
      <c r="F39" s="79"/>
      <c r="G39" s="79"/>
      <c r="H39" s="79"/>
      <c r="I39" s="79"/>
      <c r="J39" s="79"/>
      <c r="K39" s="79"/>
      <c r="L39" s="79"/>
      <c r="M39" s="79"/>
      <c r="N39" s="79"/>
      <c r="O39" s="79"/>
    </row>
    <row r="40" spans="1:15" ht="20.25" x14ac:dyDescent="0.25">
      <c r="A40" s="99"/>
      <c r="B40" s="99"/>
      <c r="C40" s="101"/>
      <c r="D40" s="101"/>
      <c r="E40" s="79"/>
      <c r="F40" s="79"/>
      <c r="G40" s="79"/>
      <c r="H40" s="79"/>
      <c r="I40" s="79"/>
      <c r="J40" s="79"/>
      <c r="K40" s="79"/>
      <c r="L40" s="79"/>
      <c r="M40" s="79"/>
      <c r="N40" s="79"/>
      <c r="O40" s="79"/>
    </row>
    <row r="41" spans="1:15" ht="20.25" x14ac:dyDescent="0.25">
      <c r="A41" s="99"/>
      <c r="B41" s="99"/>
      <c r="C41" s="101"/>
      <c r="D41" s="101"/>
      <c r="E41" s="79"/>
      <c r="F41" s="79"/>
      <c r="G41" s="79"/>
      <c r="H41" s="79"/>
      <c r="I41" s="79"/>
      <c r="J41" s="79"/>
      <c r="K41" s="79"/>
      <c r="L41" s="79"/>
      <c r="M41" s="79"/>
      <c r="N41" s="79"/>
      <c r="O41" s="79"/>
    </row>
    <row r="42" spans="1:15" ht="20.25" x14ac:dyDescent="0.25">
      <c r="A42" s="99"/>
      <c r="B42" s="99"/>
      <c r="C42" s="101"/>
      <c r="D42" s="101"/>
      <c r="E42" s="79"/>
      <c r="F42" s="79"/>
      <c r="G42" s="79"/>
      <c r="H42" s="79"/>
      <c r="I42" s="79"/>
      <c r="J42" s="79"/>
      <c r="K42" s="79"/>
      <c r="L42" s="79"/>
      <c r="M42" s="79"/>
      <c r="N42" s="79"/>
      <c r="O42" s="79"/>
    </row>
    <row r="43" spans="1:15" ht="20.25" x14ac:dyDescent="0.25">
      <c r="A43" s="99"/>
      <c r="B43" s="99"/>
      <c r="C43" s="101"/>
      <c r="D43" s="101"/>
      <c r="E43" s="79"/>
      <c r="F43" s="79"/>
      <c r="G43" s="79"/>
      <c r="H43" s="79"/>
      <c r="I43" s="79"/>
      <c r="J43" s="79"/>
      <c r="K43" s="79"/>
      <c r="L43" s="79"/>
      <c r="M43" s="79"/>
      <c r="N43" s="79"/>
      <c r="O43" s="79"/>
    </row>
    <row r="44" spans="1:15" ht="20.25" x14ac:dyDescent="0.25">
      <c r="A44" s="99"/>
      <c r="B44" s="99"/>
      <c r="C44" s="101"/>
      <c r="D44" s="101"/>
      <c r="E44" s="79"/>
      <c r="F44" s="79"/>
      <c r="G44" s="79"/>
      <c r="H44" s="79"/>
      <c r="I44" s="79"/>
      <c r="J44" s="79"/>
      <c r="K44" s="79"/>
      <c r="L44" s="79"/>
      <c r="M44" s="79"/>
      <c r="N44" s="79"/>
      <c r="O44" s="79"/>
    </row>
    <row r="45" spans="1:15" ht="20.25" x14ac:dyDescent="0.25">
      <c r="A45" s="99"/>
      <c r="B45" s="99"/>
      <c r="C45" s="101"/>
      <c r="D45" s="101"/>
      <c r="E45" s="79"/>
      <c r="F45" s="79"/>
      <c r="G45" s="79"/>
      <c r="H45" s="79"/>
      <c r="I45" s="79"/>
      <c r="J45" s="79"/>
      <c r="K45" s="79"/>
      <c r="L45" s="79"/>
      <c r="M45" s="79"/>
      <c r="N45" s="79"/>
      <c r="O45" s="79"/>
    </row>
    <row r="46" spans="1:15" ht="20.25" x14ac:dyDescent="0.25">
      <c r="A46" s="99"/>
      <c r="B46" s="99"/>
      <c r="C46" s="101"/>
      <c r="D46" s="101"/>
      <c r="E46" s="79"/>
      <c r="F46" s="79"/>
      <c r="G46" s="79"/>
      <c r="H46" s="79"/>
      <c r="I46" s="79"/>
      <c r="J46" s="79"/>
      <c r="K46" s="79"/>
      <c r="L46" s="79"/>
      <c r="M46" s="79"/>
      <c r="N46" s="79"/>
      <c r="O46" s="79"/>
    </row>
    <row r="47" spans="1:15" ht="20.25" x14ac:dyDescent="0.25">
      <c r="A47" s="99"/>
      <c r="B47" s="99"/>
      <c r="C47" s="101"/>
      <c r="D47" s="101"/>
      <c r="E47" s="79"/>
      <c r="F47" s="79"/>
      <c r="G47" s="79"/>
      <c r="H47" s="79"/>
      <c r="I47" s="79"/>
      <c r="J47" s="79"/>
      <c r="K47" s="79"/>
      <c r="L47" s="79"/>
      <c r="M47" s="79"/>
      <c r="N47" s="79"/>
      <c r="O47" s="79"/>
    </row>
    <row r="48" spans="1:15" ht="20.25" x14ac:dyDescent="0.25">
      <c r="A48" s="99"/>
      <c r="B48" s="99"/>
      <c r="C48" s="101"/>
      <c r="D48" s="101"/>
      <c r="E48" s="79"/>
      <c r="F48" s="79"/>
      <c r="G48" s="79"/>
      <c r="H48" s="79"/>
      <c r="I48" s="79"/>
      <c r="J48" s="79"/>
      <c r="K48" s="79"/>
      <c r="L48" s="79"/>
      <c r="M48" s="79"/>
      <c r="N48" s="79"/>
      <c r="O48" s="79"/>
    </row>
    <row r="49" spans="1:15" ht="20.25" x14ac:dyDescent="0.25">
      <c r="A49" s="99"/>
      <c r="B49" s="99"/>
      <c r="C49" s="101"/>
      <c r="D49" s="101"/>
      <c r="E49" s="79"/>
      <c r="F49" s="79"/>
      <c r="G49" s="79"/>
      <c r="H49" s="79"/>
      <c r="I49" s="79"/>
      <c r="J49" s="79"/>
      <c r="K49" s="79"/>
      <c r="L49" s="79"/>
      <c r="M49" s="79"/>
      <c r="N49" s="79"/>
      <c r="O49" s="79"/>
    </row>
    <row r="50" spans="1:15" ht="20.25" x14ac:dyDescent="0.25">
      <c r="A50" s="99"/>
      <c r="B50" s="99"/>
      <c r="C50" s="101"/>
      <c r="D50" s="101"/>
      <c r="E50" s="79"/>
      <c r="F50" s="79"/>
      <c r="G50" s="79"/>
      <c r="H50" s="79"/>
      <c r="I50" s="79"/>
      <c r="J50" s="79"/>
      <c r="K50" s="79"/>
      <c r="L50" s="79"/>
      <c r="M50" s="79"/>
      <c r="N50" s="79"/>
      <c r="O50" s="79"/>
    </row>
    <row r="51" spans="1:15" ht="20.25" x14ac:dyDescent="0.25">
      <c r="A51" s="99"/>
      <c r="B51" s="99"/>
      <c r="C51" s="101"/>
      <c r="D51" s="101"/>
      <c r="E51" s="79"/>
      <c r="F51" s="79"/>
      <c r="G51" s="79"/>
      <c r="H51" s="79"/>
      <c r="I51" s="79"/>
      <c r="J51" s="79"/>
      <c r="K51" s="79"/>
      <c r="L51" s="79"/>
      <c r="M51" s="79"/>
      <c r="N51" s="79"/>
      <c r="O51" s="79"/>
    </row>
    <row r="52" spans="1:15" ht="20.25" x14ac:dyDescent="0.25">
      <c r="A52" s="99"/>
      <c r="B52" s="21"/>
      <c r="C52" s="30"/>
      <c r="D52" s="30"/>
    </row>
    <row r="53" spans="1:15" ht="20.25" x14ac:dyDescent="0.25">
      <c r="A53" s="99"/>
      <c r="B53" s="21"/>
      <c r="C53" s="30"/>
      <c r="D53" s="30"/>
    </row>
    <row r="54" spans="1:15" ht="20.25" x14ac:dyDescent="0.25">
      <c r="A54" s="99"/>
      <c r="B54" s="21"/>
      <c r="C54" s="30"/>
      <c r="D54" s="30"/>
    </row>
    <row r="55" spans="1:15" ht="20.25" x14ac:dyDescent="0.25">
      <c r="A55" s="99"/>
      <c r="B55" s="21"/>
      <c r="C55" s="30"/>
      <c r="D55" s="30"/>
    </row>
    <row r="56" spans="1:15" ht="20.25" x14ac:dyDescent="0.25">
      <c r="A56" s="99"/>
      <c r="B56" s="21"/>
      <c r="C56" s="30"/>
      <c r="D56" s="30"/>
    </row>
    <row r="57" spans="1:15" ht="20.25" x14ac:dyDescent="0.25">
      <c r="A57" s="99"/>
      <c r="B57" s="21"/>
      <c r="C57" s="30"/>
      <c r="D57" s="30"/>
    </row>
    <row r="58" spans="1:15" ht="20.25" x14ac:dyDescent="0.25">
      <c r="A58" s="99"/>
      <c r="B58" s="21"/>
      <c r="C58" s="30"/>
      <c r="D58" s="30"/>
    </row>
    <row r="59" spans="1:15" ht="20.25" x14ac:dyDescent="0.25">
      <c r="A59" s="99"/>
      <c r="B59" s="21"/>
      <c r="C59" s="30"/>
      <c r="D59" s="30"/>
    </row>
    <row r="60" spans="1:15" ht="20.25" x14ac:dyDescent="0.25">
      <c r="A60" s="99"/>
      <c r="B60" s="21"/>
      <c r="C60" s="30"/>
      <c r="D60" s="30"/>
    </row>
    <row r="61" spans="1:15" ht="20.25" x14ac:dyDescent="0.25">
      <c r="A61" s="99"/>
      <c r="B61" s="21"/>
      <c r="C61" s="30"/>
      <c r="D61" s="30"/>
    </row>
    <row r="62" spans="1:15" ht="20.25" x14ac:dyDescent="0.25">
      <c r="A62" s="99"/>
      <c r="B62" s="21"/>
      <c r="C62" s="30"/>
      <c r="D62" s="30"/>
    </row>
    <row r="63" spans="1:15" ht="20.25" x14ac:dyDescent="0.25">
      <c r="A63" s="99"/>
      <c r="B63" s="21"/>
      <c r="C63" s="30"/>
      <c r="D63" s="30"/>
    </row>
    <row r="64" spans="1:15" ht="20.25" x14ac:dyDescent="0.25">
      <c r="A64" s="99"/>
      <c r="B64" s="21"/>
      <c r="C64" s="30"/>
      <c r="D64" s="30"/>
    </row>
    <row r="65" spans="1:4" ht="20.25" x14ac:dyDescent="0.25">
      <c r="A65" s="99"/>
      <c r="B65" s="21"/>
      <c r="C65" s="30"/>
      <c r="D65" s="30"/>
    </row>
    <row r="66" spans="1:4" ht="20.25" x14ac:dyDescent="0.25">
      <c r="A66" s="99"/>
      <c r="B66" s="21"/>
      <c r="C66" s="30"/>
      <c r="D66" s="30"/>
    </row>
    <row r="67" spans="1:4" ht="20.25" x14ac:dyDescent="0.25">
      <c r="A67" s="99"/>
      <c r="B67" s="21"/>
      <c r="C67" s="30"/>
      <c r="D67" s="30"/>
    </row>
    <row r="68" spans="1:4" ht="20.25" x14ac:dyDescent="0.25">
      <c r="A68" s="99"/>
      <c r="B68" s="21"/>
      <c r="C68" s="30"/>
      <c r="D68" s="30"/>
    </row>
    <row r="69" spans="1:4" ht="20.25" x14ac:dyDescent="0.25">
      <c r="A69" s="99"/>
      <c r="B69" s="21"/>
      <c r="C69" s="30"/>
      <c r="D69" s="30"/>
    </row>
    <row r="70" spans="1:4" ht="20.25" x14ac:dyDescent="0.25">
      <c r="A70" s="99"/>
      <c r="B70" s="21"/>
      <c r="C70" s="30"/>
      <c r="D70" s="30"/>
    </row>
    <row r="71" spans="1:4" ht="20.25" x14ac:dyDescent="0.25">
      <c r="A71" s="99"/>
      <c r="B71" s="21"/>
      <c r="C71" s="30"/>
      <c r="D71" s="30"/>
    </row>
    <row r="72" spans="1:4" ht="20.25" x14ac:dyDescent="0.25">
      <c r="A72" s="99"/>
      <c r="B72" s="21"/>
      <c r="C72" s="30"/>
      <c r="D72" s="30"/>
    </row>
    <row r="73" spans="1:4" ht="20.25" x14ac:dyDescent="0.25">
      <c r="A73" s="99"/>
      <c r="B73" s="21"/>
      <c r="C73" s="30"/>
      <c r="D73" s="30"/>
    </row>
    <row r="74" spans="1:4" ht="20.25" x14ac:dyDescent="0.25">
      <c r="A74" s="99"/>
      <c r="B74" s="21"/>
      <c r="C74" s="30"/>
      <c r="D74" s="30"/>
    </row>
    <row r="75" spans="1:4" ht="20.25" x14ac:dyDescent="0.25">
      <c r="A75" s="99"/>
      <c r="B75" s="21"/>
      <c r="C75" s="30"/>
      <c r="D75" s="30"/>
    </row>
    <row r="76" spans="1:4" ht="20.25" x14ac:dyDescent="0.25">
      <c r="A76" s="99"/>
      <c r="B76" s="21"/>
      <c r="C76" s="30"/>
      <c r="D76" s="30"/>
    </row>
    <row r="77" spans="1:4" ht="20.25" x14ac:dyDescent="0.25">
      <c r="A77" s="99"/>
      <c r="B77" s="21"/>
      <c r="C77" s="30"/>
      <c r="D77" s="30"/>
    </row>
    <row r="78" spans="1:4" ht="20.25" x14ac:dyDescent="0.25">
      <c r="A78" s="99"/>
      <c r="B78" s="21"/>
      <c r="C78" s="30"/>
      <c r="D78" s="30"/>
    </row>
    <row r="79" spans="1:4" ht="20.25" x14ac:dyDescent="0.25">
      <c r="A79" s="99"/>
      <c r="B79" s="21"/>
      <c r="C79" s="30"/>
      <c r="D79" s="30"/>
    </row>
    <row r="80" spans="1:4" ht="20.25" x14ac:dyDescent="0.25">
      <c r="A80" s="99"/>
      <c r="B80" s="21"/>
      <c r="C80" s="30"/>
      <c r="D80" s="30"/>
    </row>
    <row r="81" spans="1:4" ht="20.25" x14ac:dyDescent="0.25">
      <c r="A81" s="99"/>
      <c r="B81" s="21"/>
      <c r="C81" s="30"/>
      <c r="D81" s="30"/>
    </row>
    <row r="82" spans="1:4" ht="20.25" x14ac:dyDescent="0.25">
      <c r="A82" s="99"/>
      <c r="B82" s="21"/>
      <c r="C82" s="30"/>
      <c r="D82" s="30"/>
    </row>
    <row r="83" spans="1:4" ht="20.25" x14ac:dyDescent="0.25">
      <c r="A83" s="99"/>
      <c r="B83" s="21"/>
      <c r="C83" s="30"/>
      <c r="D83" s="30"/>
    </row>
    <row r="84" spans="1:4" ht="20.25" x14ac:dyDescent="0.25">
      <c r="A84" s="99"/>
      <c r="B84" s="21"/>
      <c r="C84" s="30"/>
      <c r="D84" s="30"/>
    </row>
    <row r="85" spans="1:4" ht="20.25" x14ac:dyDescent="0.25">
      <c r="A85" s="99"/>
      <c r="B85" s="21"/>
      <c r="C85" s="30"/>
      <c r="D85" s="30"/>
    </row>
    <row r="86" spans="1:4" ht="20.25" x14ac:dyDescent="0.25">
      <c r="A86" s="99"/>
      <c r="B86" s="21"/>
      <c r="C86" s="30"/>
      <c r="D86" s="30"/>
    </row>
    <row r="87" spans="1:4" ht="20.25" x14ac:dyDescent="0.25">
      <c r="A87" s="99"/>
      <c r="B87" s="21"/>
      <c r="C87" s="30"/>
      <c r="D87" s="30"/>
    </row>
    <row r="88" spans="1:4" ht="20.25" x14ac:dyDescent="0.25">
      <c r="A88" s="99"/>
      <c r="B88" s="21"/>
      <c r="C88" s="30"/>
      <c r="D88" s="30"/>
    </row>
    <row r="89" spans="1:4" ht="20.25" x14ac:dyDescent="0.25">
      <c r="A89" s="99"/>
      <c r="B89" s="21"/>
      <c r="C89" s="30"/>
      <c r="D89" s="30"/>
    </row>
    <row r="90" spans="1:4" ht="20.25" x14ac:dyDescent="0.25">
      <c r="A90" s="99"/>
      <c r="B90" s="21"/>
      <c r="C90" s="30"/>
      <c r="D90" s="30"/>
    </row>
    <row r="91" spans="1:4" ht="20.25" x14ac:dyDescent="0.25">
      <c r="A91" s="99"/>
      <c r="B91" s="21"/>
      <c r="C91" s="30"/>
      <c r="D91" s="30"/>
    </row>
    <row r="92" spans="1:4" ht="20.25" x14ac:dyDescent="0.25">
      <c r="A92" s="99"/>
      <c r="B92" s="21"/>
      <c r="C92" s="30"/>
      <c r="D92" s="30"/>
    </row>
    <row r="93" spans="1:4" ht="20.25" x14ac:dyDescent="0.25">
      <c r="A93" s="99"/>
      <c r="B93" s="21"/>
      <c r="C93" s="30"/>
      <c r="D93" s="30"/>
    </row>
    <row r="94" spans="1:4" ht="20.25" x14ac:dyDescent="0.25">
      <c r="A94" s="99"/>
      <c r="B94" s="21"/>
      <c r="C94" s="30"/>
      <c r="D94" s="30"/>
    </row>
    <row r="95" spans="1:4" ht="20.25" x14ac:dyDescent="0.25">
      <c r="A95" s="99"/>
      <c r="B95" s="21"/>
      <c r="C95" s="30"/>
      <c r="D95" s="30"/>
    </row>
    <row r="96" spans="1:4" ht="20.25" x14ac:dyDescent="0.25">
      <c r="A96" s="99"/>
      <c r="B96" s="21"/>
      <c r="C96" s="30"/>
      <c r="D96" s="30"/>
    </row>
    <row r="97" spans="1:4" ht="20.25" x14ac:dyDescent="0.25">
      <c r="A97" s="99"/>
      <c r="B97" s="21"/>
      <c r="C97" s="30"/>
      <c r="D97" s="30"/>
    </row>
    <row r="98" spans="1:4" ht="20.25" x14ac:dyDescent="0.25">
      <c r="A98" s="99"/>
      <c r="B98" s="21"/>
      <c r="C98" s="30"/>
      <c r="D98" s="30"/>
    </row>
    <row r="99" spans="1:4" ht="20.25" x14ac:dyDescent="0.25">
      <c r="A99" s="99"/>
      <c r="B99" s="21"/>
      <c r="C99" s="30"/>
      <c r="D99" s="30"/>
    </row>
    <row r="100" spans="1:4" ht="20.25" x14ac:dyDescent="0.25">
      <c r="A100" s="99"/>
      <c r="B100" s="21"/>
      <c r="C100" s="30"/>
      <c r="D100" s="30"/>
    </row>
    <row r="101" spans="1:4" ht="20.25" x14ac:dyDescent="0.25">
      <c r="A101" s="99"/>
      <c r="B101" s="21"/>
      <c r="C101" s="30"/>
      <c r="D101" s="30"/>
    </row>
    <row r="102" spans="1:4" ht="20.25" x14ac:dyDescent="0.25">
      <c r="A102" s="99"/>
      <c r="B102" s="21"/>
      <c r="C102" s="30"/>
      <c r="D102" s="30"/>
    </row>
    <row r="103" spans="1:4" ht="20.25" x14ac:dyDescent="0.25">
      <c r="A103" s="99"/>
      <c r="B103" s="21"/>
      <c r="C103" s="30"/>
      <c r="D103" s="30"/>
    </row>
    <row r="104" spans="1:4" ht="20.25" x14ac:dyDescent="0.25">
      <c r="A104" s="99"/>
      <c r="B104" s="21"/>
      <c r="C104" s="30"/>
      <c r="D104" s="30"/>
    </row>
    <row r="105" spans="1:4" ht="20.25" x14ac:dyDescent="0.25">
      <c r="A105" s="99"/>
      <c r="B105" s="21"/>
      <c r="C105" s="30"/>
      <c r="D105" s="30"/>
    </row>
    <row r="106" spans="1:4" ht="20.25" x14ac:dyDescent="0.25">
      <c r="A106" s="99"/>
      <c r="B106" s="21"/>
      <c r="C106" s="30"/>
      <c r="D106" s="30"/>
    </row>
    <row r="107" spans="1:4" ht="20.25" x14ac:dyDescent="0.25">
      <c r="A107" s="99"/>
      <c r="B107" s="21"/>
      <c r="C107" s="30"/>
      <c r="D107" s="30"/>
    </row>
    <row r="108" spans="1:4" ht="20.25" x14ac:dyDescent="0.25">
      <c r="A108" s="99"/>
      <c r="B108" s="21"/>
      <c r="C108" s="30"/>
      <c r="D108" s="30"/>
    </row>
    <row r="109" spans="1:4" ht="20.25" x14ac:dyDescent="0.25">
      <c r="A109" s="99"/>
      <c r="B109" s="21"/>
      <c r="C109" s="30"/>
      <c r="D109" s="30"/>
    </row>
    <row r="110" spans="1:4" ht="20.25" x14ac:dyDescent="0.25">
      <c r="A110" s="99"/>
      <c r="B110" s="21"/>
      <c r="C110" s="30"/>
      <c r="D110" s="30"/>
    </row>
    <row r="111" spans="1:4" ht="20.25" x14ac:dyDescent="0.25">
      <c r="A111" s="99"/>
      <c r="B111" s="21"/>
      <c r="C111" s="30"/>
      <c r="D111" s="30"/>
    </row>
    <row r="112" spans="1:4" ht="20.25" x14ac:dyDescent="0.25">
      <c r="A112" s="99"/>
      <c r="B112" s="21"/>
      <c r="C112" s="30"/>
      <c r="D112" s="30"/>
    </row>
    <row r="113" spans="1:4" ht="20.25" x14ac:dyDescent="0.25">
      <c r="A113" s="99"/>
      <c r="B113" s="21"/>
      <c r="C113" s="30"/>
      <c r="D113" s="30"/>
    </row>
    <row r="114" spans="1:4" ht="20.25" x14ac:dyDescent="0.25">
      <c r="A114" s="99"/>
      <c r="B114" s="21"/>
      <c r="C114" s="30"/>
      <c r="D114" s="30"/>
    </row>
    <row r="115" spans="1:4" ht="20.25" x14ac:dyDescent="0.25">
      <c r="A115" s="99"/>
      <c r="B115" s="21"/>
      <c r="C115" s="30"/>
      <c r="D115" s="30"/>
    </row>
    <row r="116" spans="1:4" ht="20.25" x14ac:dyDescent="0.25">
      <c r="A116" s="99"/>
      <c r="B116" s="21"/>
      <c r="C116" s="30"/>
      <c r="D116" s="30"/>
    </row>
    <row r="117" spans="1:4" ht="20.25" x14ac:dyDescent="0.25">
      <c r="A117" s="99"/>
      <c r="B117" s="21"/>
      <c r="C117" s="30"/>
      <c r="D117" s="30"/>
    </row>
    <row r="118" spans="1:4" ht="20.25" x14ac:dyDescent="0.25">
      <c r="A118" s="99"/>
      <c r="B118" s="21"/>
      <c r="C118" s="30"/>
      <c r="D118" s="30"/>
    </row>
    <row r="119" spans="1:4" ht="20.25" x14ac:dyDescent="0.25">
      <c r="A119" s="99"/>
      <c r="B119" s="21"/>
      <c r="C119" s="30"/>
      <c r="D119" s="30"/>
    </row>
    <row r="120" spans="1:4" ht="20.25" x14ac:dyDescent="0.25">
      <c r="A120" s="99"/>
      <c r="B120" s="21"/>
      <c r="C120" s="30"/>
      <c r="D120" s="30"/>
    </row>
    <row r="121" spans="1:4" ht="20.25" x14ac:dyDescent="0.25">
      <c r="A121" s="99"/>
      <c r="B121" s="21"/>
      <c r="C121" s="30"/>
      <c r="D121" s="30"/>
    </row>
    <row r="122" spans="1:4" ht="20.25" x14ac:dyDescent="0.25">
      <c r="A122" s="99"/>
      <c r="B122" s="21"/>
      <c r="C122" s="30"/>
      <c r="D122" s="30"/>
    </row>
    <row r="123" spans="1:4" ht="20.25" x14ac:dyDescent="0.25">
      <c r="A123" s="99"/>
      <c r="B123" s="21"/>
      <c r="C123" s="30"/>
      <c r="D123" s="30"/>
    </row>
    <row r="124" spans="1:4" ht="20.25" x14ac:dyDescent="0.25">
      <c r="A124" s="99"/>
      <c r="B124" s="21"/>
      <c r="C124" s="30"/>
      <c r="D124" s="30"/>
    </row>
    <row r="125" spans="1:4" ht="20.25" x14ac:dyDescent="0.25">
      <c r="A125" s="99"/>
      <c r="B125" s="21"/>
      <c r="C125" s="30"/>
      <c r="D125" s="30"/>
    </row>
    <row r="126" spans="1:4" ht="20.25" x14ac:dyDescent="0.25">
      <c r="A126" s="99"/>
      <c r="B126" s="21"/>
      <c r="C126" s="30"/>
      <c r="D126" s="30"/>
    </row>
    <row r="127" spans="1:4" ht="20.25" x14ac:dyDescent="0.25">
      <c r="A127" s="99"/>
      <c r="B127" s="21"/>
      <c r="C127" s="30"/>
      <c r="D127" s="30"/>
    </row>
    <row r="128" spans="1:4" ht="20.25" x14ac:dyDescent="0.25">
      <c r="A128" s="99"/>
      <c r="B128" s="21"/>
      <c r="C128" s="30"/>
      <c r="D128" s="30"/>
    </row>
    <row r="129" spans="1:4" ht="20.25" x14ac:dyDescent="0.25">
      <c r="A129" s="99"/>
      <c r="B129" s="21"/>
      <c r="C129" s="30"/>
      <c r="D129" s="30"/>
    </row>
    <row r="130" spans="1:4" ht="20.25" x14ac:dyDescent="0.25">
      <c r="A130" s="99"/>
      <c r="B130" s="21"/>
      <c r="C130" s="30"/>
      <c r="D130" s="30"/>
    </row>
    <row r="131" spans="1:4" ht="20.25" x14ac:dyDescent="0.25">
      <c r="A131" s="99"/>
      <c r="B131" s="21"/>
      <c r="C131" s="30"/>
      <c r="D131" s="30"/>
    </row>
    <row r="132" spans="1:4" ht="20.25" x14ac:dyDescent="0.25">
      <c r="A132" s="99"/>
      <c r="B132" s="21"/>
      <c r="C132" s="30"/>
      <c r="D132" s="30"/>
    </row>
    <row r="133" spans="1:4" ht="20.25" x14ac:dyDescent="0.25">
      <c r="A133" s="99"/>
      <c r="B133" s="21"/>
      <c r="C133" s="30"/>
      <c r="D133" s="30"/>
    </row>
    <row r="134" spans="1:4" ht="20.25" x14ac:dyDescent="0.25">
      <c r="A134" s="99"/>
      <c r="B134" s="21"/>
      <c r="C134" s="30"/>
      <c r="D134" s="30"/>
    </row>
    <row r="135" spans="1:4" ht="20.25" x14ac:dyDescent="0.25">
      <c r="A135" s="99"/>
      <c r="B135" s="21"/>
      <c r="C135" s="30"/>
      <c r="D135" s="30"/>
    </row>
    <row r="136" spans="1:4" ht="20.25" x14ac:dyDescent="0.25">
      <c r="A136" s="99"/>
      <c r="B136" s="21"/>
      <c r="C136" s="30"/>
      <c r="D136" s="30"/>
    </row>
    <row r="137" spans="1:4" ht="20.25" x14ac:dyDescent="0.25">
      <c r="A137" s="99"/>
      <c r="B137" s="21"/>
      <c r="C137" s="30"/>
      <c r="D137" s="30"/>
    </row>
    <row r="138" spans="1:4" ht="20.25" x14ac:dyDescent="0.25">
      <c r="A138" s="99"/>
      <c r="B138" s="21"/>
      <c r="C138" s="30"/>
      <c r="D138" s="30"/>
    </row>
    <row r="139" spans="1:4" ht="20.25" x14ac:dyDescent="0.25">
      <c r="A139" s="99"/>
      <c r="B139" s="21"/>
      <c r="C139" s="30"/>
      <c r="D139" s="30"/>
    </row>
    <row r="140" spans="1:4" ht="20.25" x14ac:dyDescent="0.25">
      <c r="A140" s="99"/>
      <c r="B140" s="21"/>
      <c r="C140" s="30"/>
      <c r="D140" s="30"/>
    </row>
    <row r="141" spans="1:4" ht="20.25" x14ac:dyDescent="0.25">
      <c r="A141" s="99"/>
      <c r="B141" s="21"/>
      <c r="C141" s="30"/>
      <c r="D141" s="30"/>
    </row>
    <row r="142" spans="1:4" ht="20.25" x14ac:dyDescent="0.25">
      <c r="A142" s="99"/>
      <c r="B142" s="21"/>
      <c r="C142" s="30"/>
      <c r="D142" s="30"/>
    </row>
    <row r="143" spans="1:4" ht="20.25" x14ac:dyDescent="0.25">
      <c r="A143" s="99"/>
      <c r="B143" s="21"/>
      <c r="C143" s="30"/>
      <c r="D143" s="30"/>
    </row>
    <row r="144" spans="1:4" ht="20.25" x14ac:dyDescent="0.25">
      <c r="A144" s="99"/>
      <c r="B144" s="21"/>
      <c r="C144" s="30"/>
      <c r="D144" s="30"/>
    </row>
    <row r="145" spans="1:4" ht="20.25" x14ac:dyDescent="0.25">
      <c r="A145" s="99"/>
      <c r="B145" s="21"/>
      <c r="C145" s="30"/>
      <c r="D145" s="30"/>
    </row>
    <row r="146" spans="1:4" ht="20.25" x14ac:dyDescent="0.25">
      <c r="A146" s="99"/>
      <c r="B146" s="21"/>
      <c r="C146" s="30"/>
      <c r="D146" s="30"/>
    </row>
    <row r="147" spans="1:4" ht="20.25" x14ac:dyDescent="0.25">
      <c r="A147" s="99"/>
      <c r="B147" s="21"/>
      <c r="C147" s="30"/>
      <c r="D147" s="30"/>
    </row>
    <row r="148" spans="1:4" ht="20.25" x14ac:dyDescent="0.25">
      <c r="A148" s="99"/>
      <c r="B148" s="21"/>
      <c r="C148" s="30"/>
      <c r="D148" s="30"/>
    </row>
    <row r="149" spans="1:4" ht="20.25" x14ac:dyDescent="0.25">
      <c r="A149" s="99"/>
      <c r="B149" s="21"/>
      <c r="C149" s="30"/>
      <c r="D149" s="30"/>
    </row>
    <row r="150" spans="1:4" ht="20.25" x14ac:dyDescent="0.25">
      <c r="A150" s="99"/>
      <c r="B150" s="21"/>
      <c r="C150" s="30"/>
      <c r="D150" s="30"/>
    </row>
    <row r="151" spans="1:4" ht="20.25" x14ac:dyDescent="0.25">
      <c r="A151" s="99"/>
      <c r="B151" s="21"/>
      <c r="C151" s="30"/>
      <c r="D151" s="30"/>
    </row>
    <row r="152" spans="1:4" ht="20.25" x14ac:dyDescent="0.25">
      <c r="A152" s="99"/>
      <c r="B152" s="21"/>
      <c r="C152" s="30"/>
      <c r="D152" s="30"/>
    </row>
    <row r="153" spans="1:4" ht="20.25" x14ac:dyDescent="0.25">
      <c r="A153" s="99"/>
      <c r="B153" s="21"/>
      <c r="C153" s="30"/>
      <c r="D153" s="30"/>
    </row>
    <row r="154" spans="1:4" ht="20.25" x14ac:dyDescent="0.25">
      <c r="A154" s="99"/>
      <c r="B154" s="21"/>
      <c r="C154" s="30"/>
      <c r="D154" s="30"/>
    </row>
    <row r="155" spans="1:4" ht="20.25" x14ac:dyDescent="0.25">
      <c r="A155" s="99"/>
      <c r="B155" s="21"/>
      <c r="C155" s="30"/>
      <c r="D155" s="30"/>
    </row>
    <row r="156" spans="1:4" ht="20.25" x14ac:dyDescent="0.25">
      <c r="A156" s="99"/>
      <c r="B156" s="21"/>
      <c r="C156" s="30"/>
      <c r="D156" s="30"/>
    </row>
    <row r="157" spans="1:4" ht="20.25" x14ac:dyDescent="0.25">
      <c r="A157" s="99"/>
      <c r="B157" s="21"/>
      <c r="C157" s="30"/>
      <c r="D157" s="30"/>
    </row>
    <row r="158" spans="1:4" ht="20.25" x14ac:dyDescent="0.25">
      <c r="A158" s="99"/>
      <c r="B158" s="21"/>
      <c r="C158" s="30"/>
      <c r="D158" s="30"/>
    </row>
    <row r="159" spans="1:4" ht="20.25" x14ac:dyDescent="0.25">
      <c r="A159" s="99"/>
      <c r="B159" s="21"/>
      <c r="C159" s="30"/>
      <c r="D159" s="30"/>
    </row>
    <row r="160" spans="1:4" ht="20.25" x14ac:dyDescent="0.25">
      <c r="A160" s="99"/>
      <c r="B160" s="21"/>
      <c r="C160" s="30"/>
      <c r="D160" s="30"/>
    </row>
    <row r="161" spans="1:4" ht="20.25" x14ac:dyDescent="0.25">
      <c r="A161" s="99"/>
      <c r="B161" s="21"/>
      <c r="C161" s="30"/>
      <c r="D161" s="30"/>
    </row>
    <row r="162" spans="1:4" ht="20.25" x14ac:dyDescent="0.25">
      <c r="A162" s="99"/>
      <c r="B162" s="21"/>
      <c r="C162" s="30"/>
      <c r="D162" s="30"/>
    </row>
    <row r="163" spans="1:4" ht="20.25" x14ac:dyDescent="0.25">
      <c r="A163" s="99"/>
      <c r="B163" s="21"/>
      <c r="C163" s="30"/>
      <c r="D163" s="30"/>
    </row>
    <row r="164" spans="1:4" ht="20.25" x14ac:dyDescent="0.25">
      <c r="A164" s="99"/>
      <c r="B164" s="21"/>
      <c r="C164" s="30"/>
      <c r="D164" s="30"/>
    </row>
    <row r="165" spans="1:4" ht="20.25" x14ac:dyDescent="0.25">
      <c r="A165" s="99"/>
      <c r="B165" s="21"/>
      <c r="C165" s="30"/>
      <c r="D165" s="30"/>
    </row>
    <row r="166" spans="1:4" ht="20.25" x14ac:dyDescent="0.25">
      <c r="A166" s="99"/>
      <c r="B166" s="21"/>
      <c r="C166" s="30"/>
      <c r="D166" s="30"/>
    </row>
    <row r="167" spans="1:4" ht="20.25" x14ac:dyDescent="0.25">
      <c r="A167" s="99"/>
      <c r="B167" s="21"/>
      <c r="C167" s="30"/>
      <c r="D167" s="30"/>
    </row>
    <row r="168" spans="1:4" ht="20.25" x14ac:dyDescent="0.25">
      <c r="A168" s="99"/>
      <c r="B168" s="21"/>
      <c r="C168" s="30"/>
      <c r="D168" s="30"/>
    </row>
    <row r="169" spans="1:4" ht="20.25" x14ac:dyDescent="0.25">
      <c r="A169" s="99"/>
      <c r="B169" s="21"/>
      <c r="C169" s="30"/>
      <c r="D169" s="30"/>
    </row>
    <row r="170" spans="1:4" ht="20.25" x14ac:dyDescent="0.25">
      <c r="A170" s="99"/>
      <c r="B170" s="21"/>
      <c r="C170" s="30"/>
      <c r="D170" s="30"/>
    </row>
    <row r="171" spans="1:4" ht="20.25" x14ac:dyDescent="0.25">
      <c r="A171" s="99"/>
      <c r="B171" s="21"/>
      <c r="C171" s="30"/>
      <c r="D171" s="30"/>
    </row>
    <row r="172" spans="1:4" ht="20.25" x14ac:dyDescent="0.25">
      <c r="A172" s="99"/>
      <c r="B172" s="21"/>
      <c r="C172" s="30"/>
      <c r="D172" s="30"/>
    </row>
    <row r="173" spans="1:4" ht="20.25" x14ac:dyDescent="0.25">
      <c r="A173" s="99"/>
      <c r="B173" s="21"/>
      <c r="C173" s="30"/>
      <c r="D173" s="30"/>
    </row>
    <row r="174" spans="1:4" ht="20.25" x14ac:dyDescent="0.25">
      <c r="A174" s="99"/>
      <c r="B174" s="21"/>
      <c r="C174" s="30"/>
      <c r="D174" s="30"/>
    </row>
    <row r="175" spans="1:4" ht="20.25" x14ac:dyDescent="0.25">
      <c r="A175" s="99"/>
      <c r="B175" s="21"/>
      <c r="C175" s="30"/>
      <c r="D175" s="30"/>
    </row>
    <row r="176" spans="1:4" ht="20.25" x14ac:dyDescent="0.25">
      <c r="A176" s="99"/>
      <c r="B176" s="21"/>
      <c r="C176" s="30"/>
      <c r="D176" s="30"/>
    </row>
    <row r="177" spans="1:4" ht="20.25" x14ac:dyDescent="0.25">
      <c r="A177" s="99"/>
      <c r="B177" s="21"/>
      <c r="C177" s="30"/>
      <c r="D177" s="30"/>
    </row>
    <row r="178" spans="1:4" ht="20.25" x14ac:dyDescent="0.25">
      <c r="A178" s="99"/>
      <c r="B178" s="21"/>
      <c r="C178" s="30"/>
      <c r="D178" s="30"/>
    </row>
    <row r="179" spans="1:4" ht="20.25" x14ac:dyDescent="0.25">
      <c r="A179" s="99"/>
      <c r="B179" s="21"/>
      <c r="C179" s="30"/>
      <c r="D179" s="30"/>
    </row>
    <row r="180" spans="1:4" ht="20.25" x14ac:dyDescent="0.25">
      <c r="A180" s="99"/>
      <c r="B180" s="21"/>
      <c r="C180" s="30"/>
      <c r="D180" s="30"/>
    </row>
    <row r="181" spans="1:4" ht="20.25" x14ac:dyDescent="0.25">
      <c r="A181" s="99"/>
      <c r="B181" s="21"/>
      <c r="C181" s="30"/>
      <c r="D181" s="30"/>
    </row>
    <row r="182" spans="1:4" ht="20.25" x14ac:dyDescent="0.25">
      <c r="A182" s="99"/>
      <c r="B182" s="21"/>
      <c r="C182" s="30"/>
      <c r="D182" s="30"/>
    </row>
    <row r="183" spans="1:4" ht="20.25" x14ac:dyDescent="0.25">
      <c r="A183" s="99"/>
      <c r="B183" s="21"/>
      <c r="C183" s="30"/>
      <c r="D183" s="30"/>
    </row>
    <row r="184" spans="1:4" ht="20.25" x14ac:dyDescent="0.25">
      <c r="A184" s="99"/>
      <c r="B184" s="21"/>
      <c r="C184" s="30"/>
      <c r="D184" s="30"/>
    </row>
    <row r="185" spans="1:4" ht="20.25" x14ac:dyDescent="0.25">
      <c r="A185" s="99"/>
      <c r="B185" s="21"/>
      <c r="C185" s="30"/>
      <c r="D185" s="30"/>
    </row>
    <row r="186" spans="1:4" ht="20.25" x14ac:dyDescent="0.25">
      <c r="A186" s="99"/>
      <c r="B186" s="21"/>
      <c r="C186" s="30"/>
      <c r="D186" s="30"/>
    </row>
    <row r="187" spans="1:4" ht="20.25" x14ac:dyDescent="0.25">
      <c r="A187" s="99"/>
      <c r="B187" s="21"/>
      <c r="C187" s="30"/>
      <c r="D187" s="30"/>
    </row>
    <row r="188" spans="1:4" ht="20.25" x14ac:dyDescent="0.25">
      <c r="A188" s="99"/>
      <c r="B188" s="21"/>
      <c r="C188" s="30"/>
      <c r="D188" s="30"/>
    </row>
    <row r="189" spans="1:4" ht="20.25" x14ac:dyDescent="0.25">
      <c r="A189" s="99"/>
      <c r="B189" s="21"/>
      <c r="C189" s="30"/>
      <c r="D189" s="30"/>
    </row>
    <row r="190" spans="1:4" ht="20.25" x14ac:dyDescent="0.25">
      <c r="A190" s="99"/>
      <c r="B190" s="21"/>
      <c r="C190" s="30"/>
      <c r="D190" s="30"/>
    </row>
    <row r="191" spans="1:4" ht="20.25" x14ac:dyDescent="0.25">
      <c r="A191" s="99"/>
      <c r="B191" s="21"/>
      <c r="C191" s="30"/>
      <c r="D191" s="30"/>
    </row>
    <row r="192" spans="1:4" ht="20.25" x14ac:dyDescent="0.25">
      <c r="A192" s="99"/>
      <c r="B192" s="21"/>
      <c r="C192" s="30"/>
      <c r="D192" s="30"/>
    </row>
    <row r="193" spans="1:4" ht="20.25" x14ac:dyDescent="0.25">
      <c r="A193" s="99"/>
      <c r="B193" s="21"/>
      <c r="C193" s="30"/>
      <c r="D193" s="30"/>
    </row>
    <row r="194" spans="1:4" ht="20.25" x14ac:dyDescent="0.25">
      <c r="A194" s="99"/>
      <c r="B194" s="21"/>
      <c r="C194" s="30"/>
      <c r="D194" s="30"/>
    </row>
    <row r="195" spans="1:4" ht="20.25" x14ac:dyDescent="0.25">
      <c r="A195" s="99"/>
      <c r="B195" s="21"/>
      <c r="C195" s="30"/>
      <c r="D195" s="30"/>
    </row>
    <row r="196" spans="1:4" ht="20.25" x14ac:dyDescent="0.25">
      <c r="A196" s="99"/>
      <c r="B196" s="21"/>
      <c r="C196" s="30"/>
      <c r="D196" s="30"/>
    </row>
    <row r="197" spans="1:4" ht="20.25" x14ac:dyDescent="0.25">
      <c r="A197" s="99"/>
      <c r="B197" s="21"/>
      <c r="C197" s="30"/>
      <c r="D197" s="30"/>
    </row>
    <row r="198" spans="1:4" ht="20.25" x14ac:dyDescent="0.25">
      <c r="A198" s="99"/>
      <c r="B198" s="21"/>
      <c r="C198" s="30"/>
      <c r="D198" s="30"/>
    </row>
    <row r="199" spans="1:4" ht="20.25" x14ac:dyDescent="0.25">
      <c r="A199" s="99"/>
      <c r="B199" s="21"/>
      <c r="C199" s="30"/>
      <c r="D199" s="30"/>
    </row>
    <row r="200" spans="1:4" ht="20.25" x14ac:dyDescent="0.25">
      <c r="A200" s="99"/>
      <c r="B200" s="21"/>
      <c r="C200" s="30"/>
      <c r="D200" s="30"/>
    </row>
    <row r="201" spans="1:4" ht="20.25" x14ac:dyDescent="0.25">
      <c r="A201" s="99"/>
      <c r="B201" s="21"/>
      <c r="C201" s="30"/>
      <c r="D201" s="30"/>
    </row>
    <row r="202" spans="1:4" ht="20.25" x14ac:dyDescent="0.25">
      <c r="A202" s="99"/>
      <c r="B202" s="21"/>
      <c r="C202" s="30"/>
      <c r="D202" s="30"/>
    </row>
    <row r="203" spans="1:4" ht="20.25" x14ac:dyDescent="0.25">
      <c r="A203" s="99"/>
      <c r="B203" s="21"/>
      <c r="C203" s="30"/>
      <c r="D203" s="30"/>
    </row>
    <row r="204" spans="1:4" ht="20.25" x14ac:dyDescent="0.25">
      <c r="A204" s="99"/>
      <c r="B204" s="21"/>
      <c r="C204" s="30"/>
      <c r="D204" s="30"/>
    </row>
    <row r="205" spans="1:4" ht="20.25" x14ac:dyDescent="0.25">
      <c r="A205" s="99"/>
      <c r="B205" s="21"/>
      <c r="C205" s="30"/>
      <c r="D205" s="30"/>
    </row>
    <row r="206" spans="1:4" ht="20.25" x14ac:dyDescent="0.25">
      <c r="A206" s="99"/>
      <c r="B206" s="21"/>
      <c r="C206" s="30"/>
      <c r="D206" s="30"/>
    </row>
    <row r="207" spans="1:4" ht="20.25" x14ac:dyDescent="0.25">
      <c r="A207" s="99"/>
      <c r="B207" s="21"/>
      <c r="C207" s="30"/>
      <c r="D207" s="30"/>
    </row>
    <row r="208" spans="1:4" x14ac:dyDescent="0.25">
      <c r="A208" s="79"/>
      <c r="B208" s="21"/>
      <c r="C208" s="21"/>
      <c r="D208" s="21"/>
    </row>
    <row r="209" spans="1:8" ht="20.25" x14ac:dyDescent="0.25">
      <c r="A209" s="79"/>
      <c r="B209" s="26" t="s">
        <v>88</v>
      </c>
      <c r="C209" s="26" t="s">
        <v>142</v>
      </c>
      <c r="D209" s="29" t="s">
        <v>88</v>
      </c>
      <c r="E209" s="29" t="s">
        <v>142</v>
      </c>
    </row>
    <row r="210" spans="1:8" ht="21" x14ac:dyDescent="0.35">
      <c r="A210" s="79"/>
      <c r="B210" s="27" t="s">
        <v>90</v>
      </c>
      <c r="C210" s="27"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79"/>
      <c r="B211" s="27" t="s">
        <v>90</v>
      </c>
      <c r="C211" s="27" t="s">
        <v>93</v>
      </c>
      <c r="E211" t="s">
        <v>58</v>
      </c>
      <c r="F211" t="str">
        <f t="shared" ref="F211:F221" si="0">IF(NOT(ISBLANK(D211)),D211,IF(NOT(ISBLANK(E211)),"     "&amp;E211,FALSE))</f>
        <v xml:space="preserve">     Afectación menor a 10 SMLMV .</v>
      </c>
    </row>
    <row r="212" spans="1:8" ht="21" x14ac:dyDescent="0.35">
      <c r="A212" s="79"/>
      <c r="B212" s="27" t="s">
        <v>90</v>
      </c>
      <c r="C212" s="27" t="s">
        <v>94</v>
      </c>
      <c r="E212" t="s">
        <v>93</v>
      </c>
      <c r="F212" t="str">
        <f t="shared" si="0"/>
        <v xml:space="preserve">     Entre 10 y 50 SMLMV </v>
      </c>
    </row>
    <row r="213" spans="1:8" ht="21" x14ac:dyDescent="0.35">
      <c r="A213" s="79"/>
      <c r="B213" s="27" t="s">
        <v>90</v>
      </c>
      <c r="C213" s="27" t="s">
        <v>95</v>
      </c>
      <c r="E213" t="s">
        <v>94</v>
      </c>
      <c r="F213" t="str">
        <f t="shared" si="0"/>
        <v xml:space="preserve">     Entre 50 y 100 SMLMV </v>
      </c>
    </row>
    <row r="214" spans="1:8" ht="21" x14ac:dyDescent="0.35">
      <c r="A214" s="79"/>
      <c r="B214" s="27" t="s">
        <v>90</v>
      </c>
      <c r="C214" s="27" t="s">
        <v>96</v>
      </c>
      <c r="E214" t="s">
        <v>95</v>
      </c>
      <c r="F214" t="str">
        <f t="shared" si="0"/>
        <v xml:space="preserve">     Entre 100 y 500 SMLMV </v>
      </c>
    </row>
    <row r="215" spans="1:8" ht="21" x14ac:dyDescent="0.35">
      <c r="A215" s="79"/>
      <c r="B215" s="27" t="s">
        <v>57</v>
      </c>
      <c r="C215" s="27" t="s">
        <v>97</v>
      </c>
      <c r="E215" t="s">
        <v>96</v>
      </c>
      <c r="F215" t="str">
        <f t="shared" si="0"/>
        <v xml:space="preserve">     Mayor a 500 SMLMV </v>
      </c>
    </row>
    <row r="216" spans="1:8" ht="21" x14ac:dyDescent="0.35">
      <c r="A216" s="79"/>
      <c r="B216" s="27" t="s">
        <v>57</v>
      </c>
      <c r="C216" s="27" t="s">
        <v>98</v>
      </c>
      <c r="D216" t="s">
        <v>57</v>
      </c>
      <c r="F216" t="str">
        <f t="shared" si="0"/>
        <v>Pérdida Reputacional</v>
      </c>
    </row>
    <row r="217" spans="1:8" ht="21" x14ac:dyDescent="0.35">
      <c r="A217" s="79"/>
      <c r="B217" s="27" t="s">
        <v>57</v>
      </c>
      <c r="C217" s="27" t="s">
        <v>100</v>
      </c>
      <c r="E217" t="s">
        <v>97</v>
      </c>
      <c r="F217" t="str">
        <f t="shared" si="0"/>
        <v xml:space="preserve">     El riesgo afecta la imagen de alguna área de la organización</v>
      </c>
    </row>
    <row r="218" spans="1:8" ht="21" x14ac:dyDescent="0.35">
      <c r="A218" s="79"/>
      <c r="B218" s="27" t="s">
        <v>57</v>
      </c>
      <c r="C218" s="27" t="s">
        <v>99</v>
      </c>
      <c r="E218" t="s">
        <v>98</v>
      </c>
      <c r="F218" t="str">
        <f t="shared" si="0"/>
        <v xml:space="preserve">     El riesgo afecta la imagen de la entidad internamente, de conocimiento general, nivel interno, de junta dircetiva y accionistas y/o de provedores</v>
      </c>
    </row>
    <row r="219" spans="1:8" ht="21" x14ac:dyDescent="0.35">
      <c r="A219" s="79"/>
      <c r="B219" s="27" t="s">
        <v>57</v>
      </c>
      <c r="C219" s="27" t="s">
        <v>118</v>
      </c>
      <c r="E219" t="s">
        <v>100</v>
      </c>
      <c r="F219" t="str">
        <f t="shared" si="0"/>
        <v xml:space="preserve">     El riesgo afecta la imagen de la entidad con algunos usuarios de relevancia frente al logro de los objetivos</v>
      </c>
    </row>
    <row r="220" spans="1:8" x14ac:dyDescent="0.25">
      <c r="A220" s="79"/>
      <c r="B220" s="28"/>
      <c r="C220" s="28"/>
      <c r="E220" t="s">
        <v>99</v>
      </c>
      <c r="F220" t="str">
        <f t="shared" si="0"/>
        <v xml:space="preserve">     El riesgo afecta la imagen de de la entidad con efecto publicitario sostenido a nivel de sector administrativo, nivel departamental o municipal</v>
      </c>
    </row>
    <row r="221" spans="1:8" x14ac:dyDescent="0.25">
      <c r="A221" s="79"/>
      <c r="B221" s="28" t="str" cm="1">
        <f t="array" ref="B221:B223">_xlfn.UNIQUE(Tabla1[[#All],[Criterios]])</f>
        <v>Criterios</v>
      </c>
      <c r="C221" s="28"/>
      <c r="E221" t="s">
        <v>118</v>
      </c>
      <c r="F221" t="str">
        <f t="shared" si="0"/>
        <v xml:space="preserve">     El riesgo afecta la imagen de la entidad a nivel nacional, con efecto publicitarios sostenible a nivel país</v>
      </c>
    </row>
    <row r="222" spans="1:8" x14ac:dyDescent="0.25">
      <c r="A222" s="79"/>
      <c r="B222" s="28" t="str">
        <v>Afectación Económica o presupuestal</v>
      </c>
      <c r="C222" s="28"/>
    </row>
    <row r="223" spans="1:8" x14ac:dyDescent="0.25">
      <c r="B223" s="28" t="str">
        <v>Pérdida Reputacional</v>
      </c>
      <c r="C223" s="28"/>
      <c r="F223" s="31" t="s">
        <v>144</v>
      </c>
    </row>
    <row r="224" spans="1:8" x14ac:dyDescent="0.25">
      <c r="B224" s="20"/>
      <c r="C224" s="20"/>
      <c r="F224" s="31" t="s">
        <v>145</v>
      </c>
    </row>
    <row r="225" spans="2:4" x14ac:dyDescent="0.25">
      <c r="B225" s="20"/>
      <c r="C225" s="20"/>
    </row>
    <row r="226" spans="2:4" x14ac:dyDescent="0.25">
      <c r="B226" s="20"/>
      <c r="C226" s="20"/>
    </row>
    <row r="227" spans="2:4" x14ac:dyDescent="0.25">
      <c r="B227" s="20"/>
      <c r="C227" s="20"/>
      <c r="D227" s="20"/>
    </row>
    <row r="228" spans="2:4" x14ac:dyDescent="0.25">
      <c r="B228" s="20"/>
      <c r="C228" s="20"/>
      <c r="D228" s="20"/>
    </row>
    <row r="229" spans="2:4" x14ac:dyDescent="0.25">
      <c r="B229" s="20"/>
      <c r="C229" s="20"/>
      <c r="D229" s="20"/>
    </row>
    <row r="230" spans="2:4" x14ac:dyDescent="0.25">
      <c r="B230" s="20"/>
      <c r="C230" s="20"/>
      <c r="D230" s="20"/>
    </row>
    <row r="231" spans="2:4" x14ac:dyDescent="0.25">
      <c r="B231" s="20"/>
      <c r="C231" s="20"/>
      <c r="D231" s="20"/>
    </row>
    <row r="232" spans="2:4" x14ac:dyDescent="0.25">
      <c r="B232" s="20"/>
      <c r="C232" s="20"/>
      <c r="D232" s="20"/>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heetViews>
  <sheetFormatPr baseColWidth="10" defaultColWidth="14.42578125" defaultRowHeight="12.75" x14ac:dyDescent="0.2"/>
  <cols>
    <col min="1" max="2" width="14.42578125" style="84"/>
    <col min="3" max="3" width="17" style="84" customWidth="1"/>
    <col min="4" max="4" width="14.42578125" style="84"/>
    <col min="5" max="5" width="46" style="84" customWidth="1"/>
    <col min="6" max="16384" width="14.42578125" style="84"/>
  </cols>
  <sheetData>
    <row r="1" spans="2:6" ht="24" customHeight="1" thickBot="1" x14ac:dyDescent="0.25">
      <c r="B1" s="496" t="s">
        <v>78</v>
      </c>
      <c r="C1" s="497"/>
      <c r="D1" s="497"/>
      <c r="E1" s="497"/>
      <c r="F1" s="498"/>
    </row>
    <row r="2" spans="2:6" ht="16.5" thickBot="1" x14ac:dyDescent="0.3">
      <c r="B2" s="85"/>
      <c r="C2" s="85"/>
      <c r="D2" s="85"/>
      <c r="E2" s="85"/>
      <c r="F2" s="85"/>
    </row>
    <row r="3" spans="2:6" ht="16.5" thickBot="1" x14ac:dyDescent="0.25">
      <c r="B3" s="500" t="s">
        <v>64</v>
      </c>
      <c r="C3" s="501"/>
      <c r="D3" s="501"/>
      <c r="E3" s="97" t="s">
        <v>65</v>
      </c>
      <c r="F3" s="98" t="s">
        <v>66</v>
      </c>
    </row>
    <row r="4" spans="2:6" ht="31.5" x14ac:dyDescent="0.2">
      <c r="B4" s="502" t="s">
        <v>67</v>
      </c>
      <c r="C4" s="504" t="s">
        <v>13</v>
      </c>
      <c r="D4" s="86" t="s">
        <v>14</v>
      </c>
      <c r="E4" s="87" t="s">
        <v>68</v>
      </c>
      <c r="F4" s="88">
        <v>0.25</v>
      </c>
    </row>
    <row r="5" spans="2:6" ht="47.25" x14ac:dyDescent="0.2">
      <c r="B5" s="503"/>
      <c r="C5" s="505"/>
      <c r="D5" s="89" t="s">
        <v>15</v>
      </c>
      <c r="E5" s="90" t="s">
        <v>69</v>
      </c>
      <c r="F5" s="91">
        <v>0.15</v>
      </c>
    </row>
    <row r="6" spans="2:6" ht="47.25" x14ac:dyDescent="0.2">
      <c r="B6" s="503"/>
      <c r="C6" s="505"/>
      <c r="D6" s="89" t="s">
        <v>16</v>
      </c>
      <c r="E6" s="90" t="s">
        <v>70</v>
      </c>
      <c r="F6" s="91">
        <v>0.1</v>
      </c>
    </row>
    <row r="7" spans="2:6" ht="63" x14ac:dyDescent="0.2">
      <c r="B7" s="503"/>
      <c r="C7" s="505" t="s">
        <v>17</v>
      </c>
      <c r="D7" s="89" t="s">
        <v>10</v>
      </c>
      <c r="E7" s="90" t="s">
        <v>71</v>
      </c>
      <c r="F7" s="91">
        <v>0.25</v>
      </c>
    </row>
    <row r="8" spans="2:6" ht="31.5" x14ac:dyDescent="0.2">
      <c r="B8" s="503"/>
      <c r="C8" s="505"/>
      <c r="D8" s="89" t="s">
        <v>9</v>
      </c>
      <c r="E8" s="90" t="s">
        <v>72</v>
      </c>
      <c r="F8" s="91">
        <v>0.15</v>
      </c>
    </row>
    <row r="9" spans="2:6" ht="47.25" x14ac:dyDescent="0.2">
      <c r="B9" s="503" t="s">
        <v>159</v>
      </c>
      <c r="C9" s="505" t="s">
        <v>18</v>
      </c>
      <c r="D9" s="89" t="s">
        <v>19</v>
      </c>
      <c r="E9" s="90" t="s">
        <v>73</v>
      </c>
      <c r="F9" s="92" t="s">
        <v>74</v>
      </c>
    </row>
    <row r="10" spans="2:6" ht="63" x14ac:dyDescent="0.2">
      <c r="B10" s="503"/>
      <c r="C10" s="505"/>
      <c r="D10" s="89" t="s">
        <v>20</v>
      </c>
      <c r="E10" s="90" t="s">
        <v>75</v>
      </c>
      <c r="F10" s="92" t="s">
        <v>74</v>
      </c>
    </row>
    <row r="11" spans="2:6" ht="47.25" x14ac:dyDescent="0.2">
      <c r="B11" s="503"/>
      <c r="C11" s="505" t="s">
        <v>21</v>
      </c>
      <c r="D11" s="89" t="s">
        <v>22</v>
      </c>
      <c r="E11" s="90" t="s">
        <v>76</v>
      </c>
      <c r="F11" s="92" t="s">
        <v>74</v>
      </c>
    </row>
    <row r="12" spans="2:6" ht="47.25" x14ac:dyDescent="0.2">
      <c r="B12" s="503"/>
      <c r="C12" s="505"/>
      <c r="D12" s="89" t="s">
        <v>23</v>
      </c>
      <c r="E12" s="90" t="s">
        <v>77</v>
      </c>
      <c r="F12" s="92" t="s">
        <v>74</v>
      </c>
    </row>
    <row r="13" spans="2:6" ht="31.5" x14ac:dyDescent="0.2">
      <c r="B13" s="503"/>
      <c r="C13" s="505" t="s">
        <v>24</v>
      </c>
      <c r="D13" s="89" t="s">
        <v>119</v>
      </c>
      <c r="E13" s="90" t="s">
        <v>122</v>
      </c>
      <c r="F13" s="92" t="s">
        <v>74</v>
      </c>
    </row>
    <row r="14" spans="2:6" ht="32.25" thickBot="1" x14ac:dyDescent="0.25">
      <c r="B14" s="506"/>
      <c r="C14" s="507"/>
      <c r="D14" s="93" t="s">
        <v>120</v>
      </c>
      <c r="E14" s="94" t="s">
        <v>121</v>
      </c>
      <c r="F14" s="95" t="s">
        <v>74</v>
      </c>
    </row>
    <row r="15" spans="2:6" ht="49.5" customHeight="1" x14ac:dyDescent="0.2">
      <c r="B15" s="499" t="s">
        <v>156</v>
      </c>
      <c r="C15" s="499"/>
      <c r="D15" s="499"/>
      <c r="E15" s="499"/>
      <c r="F15" s="499"/>
    </row>
    <row r="16" spans="2:6" ht="27" customHeight="1" x14ac:dyDescent="0.25">
      <c r="B16" s="9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132</v>
      </c>
    </row>
    <row r="3" spans="2:5" x14ac:dyDescent="0.25">
      <c r="B3" t="s">
        <v>32</v>
      </c>
      <c r="E3" t="s">
        <v>131</v>
      </c>
    </row>
    <row r="4" spans="2:5" x14ac:dyDescent="0.25">
      <c r="B4" t="s">
        <v>136</v>
      </c>
      <c r="E4" t="s">
        <v>133</v>
      </c>
    </row>
    <row r="5" spans="2:5" x14ac:dyDescent="0.25">
      <c r="B5" t="s">
        <v>135</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7" customWidth="1"/>
    <col min="2" max="16384" width="11.42578125" style="7"/>
  </cols>
  <sheetData>
    <row r="3" spans="1:1" x14ac:dyDescent="0.2">
      <c r="A3" s="8" t="s">
        <v>14</v>
      </c>
    </row>
    <row r="4" spans="1:1" x14ac:dyDescent="0.2">
      <c r="A4" s="8" t="s">
        <v>15</v>
      </c>
    </row>
    <row r="5" spans="1:1" x14ac:dyDescent="0.2">
      <c r="A5" s="8" t="s">
        <v>16</v>
      </c>
    </row>
    <row r="6" spans="1:1" x14ac:dyDescent="0.2">
      <c r="A6" s="8" t="s">
        <v>10</v>
      </c>
    </row>
    <row r="7" spans="1:1" x14ac:dyDescent="0.2">
      <c r="A7" s="8" t="s">
        <v>9</v>
      </c>
    </row>
    <row r="8" spans="1:1" x14ac:dyDescent="0.2">
      <c r="A8" s="8" t="s">
        <v>19</v>
      </c>
    </row>
    <row r="9" spans="1:1" x14ac:dyDescent="0.2">
      <c r="A9" s="8" t="s">
        <v>20</v>
      </c>
    </row>
    <row r="10" spans="1:1" x14ac:dyDescent="0.2">
      <c r="A10" s="8" t="s">
        <v>22</v>
      </c>
    </row>
    <row r="11" spans="1:1" x14ac:dyDescent="0.2">
      <c r="A11" s="8" t="s">
        <v>23</v>
      </c>
    </row>
    <row r="12" spans="1:1" x14ac:dyDescent="0.2">
      <c r="A12" s="8" t="s">
        <v>25</v>
      </c>
    </row>
    <row r="13" spans="1:1" x14ac:dyDescent="0.2">
      <c r="A13" s="8" t="s">
        <v>26</v>
      </c>
    </row>
    <row r="14" spans="1:1" x14ac:dyDescent="0.2">
      <c r="A14" s="8" t="s">
        <v>27</v>
      </c>
    </row>
    <row r="16" spans="1:1" x14ac:dyDescent="0.2">
      <c r="A16" s="8" t="s">
        <v>30</v>
      </c>
    </row>
    <row r="17" spans="1:1" x14ac:dyDescent="0.2">
      <c r="A17" s="8" t="s">
        <v>31</v>
      </c>
    </row>
    <row r="18" spans="1:1" x14ac:dyDescent="0.2">
      <c r="A18" s="8" t="s">
        <v>32</v>
      </c>
    </row>
    <row r="20" spans="1:1" x14ac:dyDescent="0.2">
      <c r="A20" s="8" t="s">
        <v>40</v>
      </c>
    </row>
    <row r="21" spans="1:1" x14ac:dyDescent="0.2">
      <c r="A21" s="8"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Fredy.Varela</cp:lastModifiedBy>
  <cp:lastPrinted>2020-05-13T01:12:22Z</cp:lastPrinted>
  <dcterms:created xsi:type="dcterms:W3CDTF">2020-03-24T23:12:47Z</dcterms:created>
  <dcterms:modified xsi:type="dcterms:W3CDTF">2025-07-31T16:49:54Z</dcterms:modified>
</cp:coreProperties>
</file>