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USUARIO\Desktop\SEGUIMIENTO MAPA DE RIESGOS OCI 2CUAT - Publicar\"/>
    </mc:Choice>
  </mc:AlternateContent>
  <bookViews>
    <workbookView xWindow="0" yWindow="0" windowWidth="28800" windowHeight="11835" tabRatio="882" firstSheet="1" activeTab="1"/>
  </bookViews>
  <sheets>
    <sheet name="Intructivo" sheetId="20" state="hidden" r:id="rId1"/>
    <sheet name="Mapa final" sheetId="1" r:id="rId2"/>
    <sheet name="Matriz Calor Inherente" sheetId="18" state="hidden" r:id="rId3"/>
    <sheet name="Matriz Calor Residual" sheetId="19" state="hidden" r:id="rId4"/>
    <sheet name="Tabla probabilidad" sheetId="12" state="hidden" r:id="rId5"/>
    <sheet name="Tabla Impacto" sheetId="13" state="hidden" r:id="rId6"/>
    <sheet name="Tabla Valoración controles" sheetId="15" state="hidden" r:id="rId7"/>
    <sheet name="Opciones Tratamiento" sheetId="16" state="hidden" r:id="rId8"/>
    <sheet name="Hoja1" sheetId="11" state="hidden" r:id="rId9"/>
  </sheets>
  <calcPr calcId="152511"/>
  <pivotCaches>
    <pivotCache cacheId="0" r:id="rId10"/>
  </pivotCaches>
</workbook>
</file>

<file path=xl/calcChain.xml><?xml version="1.0" encoding="utf-8"?>
<calcChain xmlns="http://schemas.openxmlformats.org/spreadsheetml/2006/main">
  <c r="T10" i="1" l="1"/>
  <c r="Q10" i="1"/>
  <c r="H10" i="1"/>
  <c r="I10" i="1" s="1"/>
  <c r="K54" i="1"/>
  <c r="K21" i="1"/>
  <c r="K48" i="1"/>
  <c r="K45" i="1"/>
  <c r="K67" i="1"/>
  <c r="K18" i="1"/>
  <c r="K59" i="1"/>
  <c r="K60" i="1"/>
  <c r="K27" i="1"/>
  <c r="K23" i="1"/>
  <c r="K35" i="1"/>
  <c r="K61" i="1"/>
  <c r="K56" i="1"/>
  <c r="K24" i="1"/>
  <c r="K17" i="1"/>
  <c r="K39" i="1"/>
  <c r="K57" i="1"/>
  <c r="K49" i="1"/>
  <c r="K55" i="1"/>
  <c r="K62" i="1"/>
  <c r="K19" i="1"/>
  <c r="K26" i="1"/>
  <c r="K42" i="1"/>
  <c r="K41" i="1"/>
  <c r="K51" i="1"/>
  <c r="K50" i="1"/>
  <c r="K53" i="1"/>
  <c r="K36" i="1"/>
  <c r="K65" i="1"/>
  <c r="K63" i="1"/>
  <c r="K68" i="1"/>
  <c r="K37" i="1"/>
  <c r="K38" i="1"/>
  <c r="K20" i="1"/>
  <c r="K47" i="1"/>
  <c r="K43" i="1"/>
  <c r="K25" i="1"/>
  <c r="K69" i="1"/>
  <c r="K44" i="1"/>
  <c r="K66" i="1"/>
  <c r="F221" i="13" l="1"/>
  <c r="F211" i="13"/>
  <c r="F212" i="13"/>
  <c r="F213" i="13"/>
  <c r="F214" i="13"/>
  <c r="F215" i="13"/>
  <c r="F216" i="13"/>
  <c r="F217" i="13"/>
  <c r="F218" i="13"/>
  <c r="F219" i="13"/>
  <c r="F220" i="13"/>
  <c r="F210" i="13"/>
  <c r="B221" i="13" a="1"/>
  <c r="K13" i="1"/>
  <c r="K14" i="1"/>
  <c r="K11" i="1"/>
  <c r="K15" i="1"/>
  <c r="K12"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AB65" i="1" s="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27" i="1"/>
  <c r="Q27" i="1"/>
  <c r="T26" i="1"/>
  <c r="Q26" i="1"/>
  <c r="T25" i="1"/>
  <c r="Q25" i="1"/>
  <c r="T24" i="1"/>
  <c r="Q24" i="1"/>
  <c r="T23" i="1"/>
  <c r="T22" i="1"/>
  <c r="Q22" i="1"/>
  <c r="H22" i="1"/>
  <c r="I22" i="1" s="1"/>
  <c r="H16" i="1"/>
  <c r="Q15" i="1"/>
  <c r="Q14" i="1"/>
  <c r="Q13" i="1"/>
  <c r="T21" i="1"/>
  <c r="Q21" i="1"/>
  <c r="T20" i="1"/>
  <c r="Q20" i="1"/>
  <c r="T19" i="1"/>
  <c r="Q19" i="1"/>
  <c r="T18" i="1"/>
  <c r="Q18" i="1"/>
  <c r="T17" i="1"/>
  <c r="Q17" i="1"/>
  <c r="T16" i="1"/>
  <c r="Q16" i="1"/>
  <c r="AB17" i="1" l="1"/>
  <c r="AB35" i="1"/>
  <c r="AB59" i="1"/>
  <c r="AB50" i="1"/>
  <c r="AA50" i="1" s="1"/>
  <c r="AB51" i="1"/>
  <c r="AA51" i="1" s="1"/>
  <c r="I16" i="1"/>
  <c r="X16" i="1" s="1"/>
  <c r="X64" i="1"/>
  <c r="X58" i="1"/>
  <c r="X52" i="1"/>
  <c r="X46" i="1"/>
  <c r="X50" i="1"/>
  <c r="X51" i="1"/>
  <c r="X40" i="1"/>
  <c r="X34"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2" i="1"/>
  <c r="Z22" i="1"/>
  <c r="X23" i="1" s="1"/>
  <c r="Y23" i="1" s="1"/>
  <c r="Y16" i="1"/>
  <c r="Z16" i="1"/>
  <c r="X17" i="1" s="1"/>
  <c r="Y59" i="1" l="1"/>
  <c r="Y53" i="1"/>
  <c r="Z23" i="1"/>
  <c r="X24" i="1" s="1"/>
  <c r="Y24" i="1" s="1"/>
  <c r="Y41" i="1"/>
  <c r="Y42" i="1"/>
  <c r="Z42" i="1"/>
  <c r="Z60" i="1"/>
  <c r="X61" i="1" s="1"/>
  <c r="Y60" i="1"/>
  <c r="Z54" i="1"/>
  <c r="X55" i="1" s="1"/>
  <c r="Y54" i="1"/>
  <c r="Z65" i="1"/>
  <c r="X66" i="1" s="1"/>
  <c r="X35" i="1"/>
  <c r="X47" i="1"/>
  <c r="X4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Y17" i="1"/>
  <c r="Z17" i="1"/>
  <c r="X18" i="1" s="1"/>
  <c r="Y18" i="1" s="1"/>
  <c r="Z36" i="1" l="1"/>
  <c r="X37" i="1" s="1"/>
  <c r="Z37" i="1" s="1"/>
  <c r="X38" i="1" s="1"/>
  <c r="Y56" i="1"/>
  <c r="Z56" i="1"/>
  <c r="X57" i="1" s="1"/>
  <c r="X62" i="1"/>
  <c r="X63" i="1"/>
  <c r="Y25" i="1"/>
  <c r="Y43" i="1"/>
  <c r="Z43" i="1"/>
  <c r="X44" i="1" s="1"/>
  <c r="Y44" i="1" s="1"/>
  <c r="Y49" i="1"/>
  <c r="Z49" i="1"/>
  <c r="X26" i="1"/>
  <c r="Z67" i="1"/>
  <c r="Y67" i="1"/>
  <c r="Z18" i="1"/>
  <c r="X19" i="1" s="1"/>
  <c r="Y19" i="1" s="1"/>
  <c r="Y37" i="1" l="1"/>
  <c r="Y63" i="1"/>
  <c r="Z63" i="1"/>
  <c r="Y62" i="1"/>
  <c r="Z62" i="1"/>
  <c r="Y57" i="1"/>
  <c r="Z57" i="1"/>
  <c r="X68" i="1"/>
  <c r="X69" i="1"/>
  <c r="Z44" i="1"/>
  <c r="X45" i="1" s="1"/>
  <c r="Y45" i="1" s="1"/>
  <c r="Z38" i="1"/>
  <c r="X39" i="1" s="1"/>
  <c r="Y38" i="1"/>
  <c r="Y26" i="1"/>
  <c r="Z26" i="1"/>
  <c r="X27" i="1" s="1"/>
  <c r="Y27" i="1" s="1"/>
  <c r="Z19" i="1"/>
  <c r="X20" i="1" s="1"/>
  <c r="Z20" i="1" s="1"/>
  <c r="X21" i="1" s="1"/>
  <c r="X10" i="1"/>
  <c r="Y10" i="1" s="1"/>
  <c r="Y69" i="1" l="1"/>
  <c r="Z69" i="1"/>
  <c r="Y68" i="1"/>
  <c r="Z68" i="1"/>
  <c r="Y39" i="1"/>
  <c r="Z39" i="1"/>
  <c r="Z45" i="1"/>
  <c r="Z27" i="1"/>
  <c r="Y20" i="1"/>
  <c r="Y21" i="1"/>
  <c r="Z21" i="1"/>
  <c r="Z10" i="1" l="1"/>
  <c r="X11" i="1" s="1"/>
  <c r="Y11" i="1" l="1"/>
  <c r="Z11" i="1" l="1"/>
  <c r="X12" i="1" s="1"/>
  <c r="Y12" i="1" s="1"/>
  <c r="Z12" i="1" l="1"/>
  <c r="X13" i="1" s="1"/>
  <c r="Z13" i="1" l="1"/>
  <c r="X14" i="1" s="1"/>
  <c r="Y14" i="1" l="1"/>
  <c r="Z14" i="1"/>
  <c r="X15" i="1" s="1"/>
  <c r="Y13" i="1"/>
  <c r="Y15" i="1" l="1"/>
  <c r="Z15" i="1"/>
  <c r="AB66" i="1" l="1"/>
  <c r="AB58" i="1"/>
  <c r="AB40" i="1"/>
  <c r="AA40" i="1" s="1"/>
  <c r="AB52" i="1"/>
  <c r="AA5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38" i="1" l="1"/>
  <c r="AB39" i="1"/>
  <c r="AA39"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10" i="1"/>
  <c r="L10" i="1" s="1"/>
  <c r="K22" i="1"/>
  <c r="L22" i="1" s="1"/>
  <c r="K52" i="1"/>
  <c r="L52" i="1" s="1"/>
  <c r="K46" i="1"/>
  <c r="L46" i="1" s="1"/>
  <c r="K34" i="1"/>
  <c r="L34" i="1" s="1"/>
  <c r="K16" i="1"/>
  <c r="L16" i="1" s="1"/>
  <c r="K64" i="1"/>
  <c r="L64" i="1" s="1"/>
  <c r="K58" i="1"/>
  <c r="L58" i="1" s="1"/>
  <c r="X6" i="18" l="1"/>
  <c r="AJ30" i="18"/>
  <c r="R22" i="18"/>
  <c r="L6" i="18"/>
  <c r="R30" i="18"/>
  <c r="X22" i="18"/>
  <c r="X38" i="18"/>
  <c r="AD38" i="18"/>
  <c r="N16" i="1"/>
  <c r="AD22" i="18"/>
  <c r="M16" i="1"/>
  <c r="AB16" i="1" s="1"/>
  <c r="AA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Z40" i="18"/>
  <c r="AL8" i="18"/>
  <c r="AF8" i="18"/>
  <c r="T8" i="18"/>
  <c r="Z16" i="18"/>
  <c r="T24" i="18"/>
  <c r="AL24" i="18"/>
  <c r="Z32" i="18"/>
  <c r="N32" i="18"/>
  <c r="N16" i="18"/>
  <c r="Z8" i="18"/>
  <c r="AL40" i="18"/>
  <c r="N8" i="18"/>
  <c r="N24" i="18"/>
  <c r="T32" i="18"/>
  <c r="T16" i="18"/>
  <c r="AF40" i="18"/>
  <c r="AF16" i="18"/>
  <c r="AL32" i="18"/>
  <c r="N40" i="18"/>
  <c r="Z24" i="18"/>
  <c r="AL16" i="18"/>
  <c r="N40" i="1"/>
  <c r="AA22" i="1" l="1"/>
  <c r="AB23" i="1"/>
  <c r="AA23" i="1" s="1"/>
  <c r="AA10" i="1"/>
  <c r="AB11" i="1"/>
  <c r="AB39" i="19"/>
  <c r="P39" i="19"/>
  <c r="AB9" i="19"/>
  <c r="V9" i="19"/>
  <c r="J29" i="19"/>
  <c r="V29" i="19"/>
  <c r="AB49" i="19"/>
  <c r="P49" i="19"/>
  <c r="P19" i="19"/>
  <c r="AH39" i="19"/>
  <c r="AH19" i="19"/>
  <c r="AB19" i="19"/>
  <c r="J39" i="19"/>
  <c r="AH49" i="19"/>
  <c r="P9" i="19"/>
  <c r="V39" i="19"/>
  <c r="AH9" i="19"/>
  <c r="J19" i="19"/>
  <c r="P29" i="19"/>
  <c r="AB29" i="19"/>
  <c r="J49" i="19"/>
  <c r="V49" i="19"/>
  <c r="V19" i="19"/>
  <c r="AH29" i="19"/>
  <c r="J9" i="19"/>
  <c r="J47" i="19"/>
  <c r="AH7" i="19"/>
  <c r="AB27" i="19"/>
  <c r="V47" i="19"/>
  <c r="AC16" i="1"/>
  <c r="J27" i="19"/>
  <c r="AH37" i="19"/>
  <c r="AB7" i="19"/>
  <c r="V17" i="19"/>
  <c r="P37" i="19"/>
  <c r="J7" i="19"/>
  <c r="AH17" i="19"/>
  <c r="AH27" i="19"/>
  <c r="V27" i="19"/>
  <c r="P47" i="19"/>
  <c r="J17" i="19"/>
  <c r="J37" i="19"/>
  <c r="AB37" i="19"/>
  <c r="V7" i="19"/>
  <c r="P27" i="19"/>
  <c r="P17" i="19"/>
  <c r="AH47" i="19"/>
  <c r="AB17" i="19"/>
  <c r="V37" i="19"/>
  <c r="P7" i="19"/>
  <c r="AB4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AI28" i="19" l="1"/>
  <c r="W48" i="19"/>
  <c r="AI38" i="19"/>
  <c r="AC18" i="19"/>
  <c r="Q48" i="19"/>
  <c r="Q38" i="19"/>
  <c r="K8" i="19"/>
  <c r="AI18" i="19"/>
  <c r="Q18" i="19"/>
  <c r="W18" i="19"/>
  <c r="Q28" i="19"/>
  <c r="W38" i="19"/>
  <c r="AI8" i="19"/>
  <c r="AI48" i="19"/>
  <c r="AC28" i="19"/>
  <c r="AC8" i="19"/>
  <c r="Q8" i="19"/>
  <c r="W28" i="19"/>
  <c r="W8" i="19"/>
  <c r="K48" i="19"/>
  <c r="AC23" i="1"/>
  <c r="K38" i="19"/>
  <c r="K28" i="19"/>
  <c r="AC38" i="19"/>
  <c r="K18" i="19"/>
  <c r="AC48" i="19"/>
  <c r="AB12" i="1"/>
  <c r="AA12" i="1" s="1"/>
  <c r="AA11" i="1"/>
  <c r="Q46" i="19" l="1"/>
  <c r="AC26" i="19"/>
  <c r="AC16" i="19"/>
  <c r="W26" i="19"/>
  <c r="W46" i="19"/>
  <c r="AI36" i="19"/>
  <c r="AC6" i="19"/>
  <c r="W36" i="19"/>
  <c r="K16" i="19"/>
  <c r="AI46" i="19"/>
  <c r="W16" i="19"/>
  <c r="K36" i="19"/>
  <c r="Q26" i="19"/>
  <c r="K26" i="19"/>
  <c r="AC46" i="19"/>
  <c r="AC11" i="1"/>
  <c r="Q6" i="19"/>
  <c r="K6" i="19"/>
  <c r="Q16" i="19"/>
  <c r="AI6" i="19"/>
  <c r="AI16" i="19"/>
  <c r="Q36" i="19"/>
  <c r="W6" i="19"/>
  <c r="AI26" i="19"/>
  <c r="AC36" i="19"/>
  <c r="K46" i="19"/>
  <c r="X16" i="19"/>
  <c r="AD36" i="19"/>
  <c r="AJ36" i="19"/>
  <c r="AJ16" i="19"/>
  <c r="AJ26" i="19"/>
  <c r="R46" i="19"/>
  <c r="R26" i="19"/>
  <c r="L16" i="19"/>
  <c r="L26" i="19"/>
  <c r="AD46" i="19"/>
  <c r="X26" i="19"/>
  <c r="L46" i="19"/>
  <c r="AD26" i="19"/>
  <c r="AD6" i="19"/>
  <c r="X6" i="19"/>
  <c r="L6" i="19"/>
  <c r="R36" i="19"/>
  <c r="AD16" i="19"/>
  <c r="X46" i="19"/>
  <c r="L36" i="19"/>
  <c r="AJ46" i="19"/>
  <c r="X36" i="19"/>
  <c r="AC12" i="1"/>
  <c r="R16" i="19"/>
  <c r="R6" i="19"/>
  <c r="AJ6"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<sst xmlns="http://schemas.openxmlformats.org/spreadsheetml/2006/main" count="455" uniqueCount="271">
  <si>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</si>
  <si>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</si>
  <si>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</si>
  <si>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</si>
  <si>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</si>
  <si>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</si>
  <si>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</si>
  <si>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</si>
  <si>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</si>
  <si>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</si>
  <si>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</si>
  <si>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</si>
  <si>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</si>
  <si>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</si>
  <si>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</si>
  <si>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</si>
  <si>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</si>
  <si>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</si>
  <si>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</si>
  <si>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</si>
  <si>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</si>
  <si>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</si>
  <si>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</si>
  <si>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</si>
  <si>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</si>
  <si>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</si>
  <si>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</si>
  <si>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</si>
  <si>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</si>
  <si>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</si>
  <si>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</si>
  <si>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</si>
  <si>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</si>
  <si>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</si>
  <si>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</si>
  <si>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</si>
  <si>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</si>
  <si>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</si>
  <si>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</si>
  <si>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</si>
  <si>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</si>
  <si>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</si>
  <si>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</si>
  <si>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</si>
  <si>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</si>
  <si>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</si>
  <si>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</si>
  <si>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</si>
  <si>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</si>
  <si>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</si>
  <si>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</si>
  <si>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</si>
  <si>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</si>
  <si>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</si>
  <si>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</si>
  <si>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</si>
  <si>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</si>
  <si>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</si>
  <si>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</si>
  <si>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</si>
  <si>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</si>
  <si>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</si>
  <si>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</si>
  <si>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</si>
  <si>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</si>
  <si>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</si>
  <si>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</si>
  <si>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</si>
  <si>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</si>
  <si>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</si>
  <si>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</si>
  <si>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</si>
  <si>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</si>
  <si>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</si>
  <si>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</si>
  <si>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</si>
  <si>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</si>
  <si>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</si>
  <si>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</si>
  <si>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</si>
  <si>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</si>
  <si>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</si>
  <si>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</si>
  <si>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</si>
  <si>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</si>
  <si>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</si>
  <si>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</si>
  <si>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</si>
  <si>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</si>
  <si>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</si>
  <si>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</si>
  <si>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</si>
  <si>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</si>
  <si>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</si>
  <si>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</si>
  <si>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</si>
  <si>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</si>
  <si>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</si>
  <si>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</si>
  <si>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</si>
  <si>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</si>
  <si>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</si>
  <si>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</si>
  <si>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</si>
  <si>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</si>
  <si>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</si>
  <si>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</si>
  <si>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</si>
  <si>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</si>
  <si>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</si>
  <si>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</si>
  <si>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</si>
  <si>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</si>
  <si>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</si>
  <si>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</si>
  <si>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</si>
  <si>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</si>
  <si>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</si>
  <si>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</si>
  <si>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</si>
  <si>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</si>
  <si>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</si>
  <si>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</si>
  <si>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</si>
  <si>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</si>
  <si>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</si>
  <si>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</si>
  <si>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</si>
  <si>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</si>
  <si>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</si>
  <si>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</si>
  <si>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</si>
  <si>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</si>
  <si>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</si>
  <si>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</si>
  <si>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</si>
  <si>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</si>
  <si>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</si>
  <si>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</si>
  <si>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</si>
  <si>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</si>
  <si>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</si>
  <si>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</si>
  <si>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</si>
  <si>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</si>
  <si>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</si>
  <si>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</si>
  <si>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</si>
  <si>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</si>
  <si>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</si>
  <si>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</si>
  <si>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</si>
  <si>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</si>
  <si>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</si>
  <si>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</si>
  <si>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</si>
  <si>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</si>
  <si>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</si>
  <si>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</si>
  <si>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</si>
  <si>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</si>
  <si>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</si>
  <si>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</si>
  <si>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</si>
  <si>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</si>
  <si>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</si>
  <si>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</si>
  <si>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</si>
  <si>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</si>
  <si>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</si>
  <si>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</si>
  <si>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</si>
  <si>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</si>
  <si>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</si>
  <si>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</si>
  <si>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</si>
  <si>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</si>
  <si>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</si>
  <si>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</si>
  <si>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</si>
  <si>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</si>
  <si>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</si>
  <si>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</si>
  <si>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</si>
  <si>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</si>
  <si>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</si>
  <si>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</si>
  <si>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</si>
  <si>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</si>
  <si>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</si>
  <si>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</si>
  <si>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</si>
  <si>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</si>
  <si>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</si>
  <si>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</si>
  <si>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</si>
  <si>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</si>
  <si>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</si>
  <si>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</si>
  <si>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</si>
  <si>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</si>
  <si>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</si>
  <si>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</si>
  <si>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</si>
  <si>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</si>
  <si>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</si>
  <si>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</si>
  <si>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</si>
  <si>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</si>
  <si>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</si>
  <si>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</si>
  <si>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</si>
  <si>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</si>
  <si>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01/01/2022</t>
  </si>
  <si>
    <t>GESTIÓN DEL TALENTO HUMANO</t>
  </si>
  <si>
    <t>Gestionar el Talento Humano, desde el procedimiento de selección y vinculación, desarrollo de personal y retiro del servidor público, conforme a las disposiciones legales</t>
  </si>
  <si>
    <t>SEGUIMIENTO</t>
  </si>
  <si>
    <t>Gestionar  eficientemente  el  Talento  Humano  del Area Metropolitana de Bucaramanga  a  través  de  políticas  y  estrategias  de  personal,  basados  en  las necesidades  identificadas  y  los  requisitos  legales  con  el  fin  de  aumentar  la  satisfacción,  bienestar  y  calidad  de  vida  de  los Servidores  Públicos impactando así en la prestación delos servicios y la entrega oportuna de la oferta instituciónal a cargo de la entidad</t>
  </si>
  <si>
    <t>Falta de personal para realizar la actividad y mantener actualizado el proceso</t>
  </si>
  <si>
    <t>Ausencia de personal interno con conocimiento en el Sistema para que realice la auditoria</t>
  </si>
  <si>
    <t>Diligenciar los Formatos: Lista de chequeo para vinculación  y/o Desvinculacion , Confirmación de experiencia laboral y Verificación del Cumplimiento de requisitos, ante nuevas vinculaciones de personal</t>
  </si>
  <si>
    <t xml:space="preserve">Cumplimiento del Decreto 726 de 2018 del Ministerio de Trabajo, Por el cual  se crea el Sistema de Certificación Electrónica de Tiempos Laborados (CETIL) con destino al reconocimiento de prestaciones pensionales. </t>
  </si>
  <si>
    <t xml:space="preserve">Actualmente las auditorías se han realizado con personal Interno de otras dependencias de apoyo al ÁREA METROPOLITANA DE BUCARAMANGA </t>
  </si>
  <si>
    <t xml:space="preserve">Diligenciamiento del formato GTH - FO- 033 lista de chequeo, GTH -FO - 030, Confirmación de experiencia laboral y GTH -FO -031 verificación de cumplimento de requisitos,  Lista de chequeo para retiro </t>
  </si>
  <si>
    <t>Designación de una persona responsable de adelantar  este proceso de digitalización de las hojas de vida y de los pagos de la seguridad social de cada uno de ellos</t>
  </si>
  <si>
    <t>SECRETARIA GENERAL - TALENTO HUMANO</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</si>
  <si>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</si>
  <si>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</si>
  <si>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</si>
  <si>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</si>
  <si>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Posibilidad de daño reputacional por incumplimiento de requisitos en la vinculación y/o desvinculación del Talento Humano</t>
  </si>
  <si>
    <t xml:space="preserve">Posibilidad de daño reputacional por incumplimiento en la digitalización de las hojas de vida de personal inactivo lo cual dificulta mantener actualizadas plataformas CETIL, PASIVOCOL </t>
  </si>
  <si>
    <t xml:space="preserve">Posibilidad de daño reputacional por incumplimiento en la auditoria interna al SISTEMA DE GESTIÓN DE SEGURIDAD Y SALUD EN EL TRABAJO de acuerdo a lo establecido en el Decreto 1072 de 2015 </t>
  </si>
  <si>
    <t>Avance PA</t>
  </si>
  <si>
    <t xml:space="preserve">Omisión de verificación de los requisitos técnicos y jurídicos </t>
  </si>
  <si>
    <t>Ausencia de cargue de información y desactualización de las plataformas CETIL, PASIVOCOL</t>
  </si>
  <si>
    <t>Actualizacion del procedimiento de selección y vinculación de personal conforme a lo establecido en la ley 581 de 2000</t>
  </si>
  <si>
    <t>Realizar la actualizacion del procedimeinto y presentarlo ante la oficina del asesor corporativo para su registro en el sistema de gestión de calidad</t>
  </si>
  <si>
    <t xml:space="preserve">Realizar la actualziacion de la caracterizacion de la planta de personal cada vez que se requiera conforme a las vinculaciones y desvinculaciones que se presenten en la vigencia </t>
  </si>
  <si>
    <t xml:space="preserve">Ausencia de procedimientos actualzidos conforme a al normatividad legal vigente </t>
  </si>
  <si>
    <t>30/04/2024
30/08/2024
30/12/2024</t>
  </si>
  <si>
    <t>Actualizar la caracterización de los requisitos habilitantes para los cargos</t>
  </si>
  <si>
    <t>Realizar el proceso de actualizacion de la bateria de indicadores que conforman los factores de riesgo sicosocial en el trabajo</t>
  </si>
  <si>
    <t>Realiziar el proceso de actualización de la bateria de indicadores conforme a la resolcuion de 2646 de 2008 del Ministerio de la protección social</t>
  </si>
  <si>
    <t>Designar personal idóneo para realizar los procesos de auditoría</t>
  </si>
  <si>
    <t xml:space="preserve">% AVANCE  </t>
  </si>
  <si>
    <t>EVIDENCIA</t>
  </si>
  <si>
    <t xml:space="preserve">SEGUIMIENTO </t>
  </si>
  <si>
    <t>Procedimiento SGC para selección y vinculación de personal actualizado</t>
  </si>
  <si>
    <t>Hoja de cálculo con caracterización del personal de planta del AMB</t>
  </si>
  <si>
    <t>Formatos SGC GTH - FO- 033, GTH -FO - 030,  y GTH -FO -031, diligenciados</t>
  </si>
  <si>
    <t>SEGUIMIENTO PRIMER CUATRIMESTRE 2024 
- OFICINA DE CONTROL INTERNO</t>
  </si>
  <si>
    <t>No se reportó evidencia que de alcance al plan</t>
  </si>
  <si>
    <t>Se encontró actualización del procedimiento para selección y vinculación de personal con fecha última actualización 12/02/2024.  Igualmente se incluyó un formato  GTH- FO-090 cumplimiento Ley 581 de 2000. Actividad cumplida en el primer cuatrimestre, se requerirá en adelante su diligenciamiento, a fin de darle continuidad al control.
Fecha de implementación del plan incoherente, debe ser posterior a las fechas de seguimiento.</t>
  </si>
  <si>
    <t>Se encontró un documento en hoja de cálculo con la caracterización actualizada de los funcionarios de la entidad.
Fecha de implementación del plan incoherente, debe ser posterior a las fechas de seguimiento.</t>
  </si>
  <si>
    <t>Se reportaron como evidencia comunicaciones dirigidas a la coordinación nacional de pasivocol, no obstante, no corresponde con lo establecido como plan de reducir el riesgo. El control es deficiente y permite la materialización del riesgo.
Fecha de implementación del plan incoherente, debe ser posterior a las fechas de seguimiento.</t>
  </si>
  <si>
    <t>No se reportaron evidencias para el periodo evaluado. El control es deficiente y permite la materialización del riesgo.
Fecha de implementación del plan incoherente, debe ser posterior a las fechas de seguimiento.</t>
  </si>
  <si>
    <t>No se reportaron evidencias para el periodo evaluado. El control es deficiente y permite la materialización del riesgo.
De acuerdo al seguimiento realizado por el Asesor Corporativo quien hace las veces de Jefe de Planeación, se recomienda ajustar las fechas de seguimiento, a fin que resulten acordes a los procedimientos de actualización de la gestión estratégica del talento humano.
Fecha de implementación del plan incoherente, debe ser posterior a las fechas de seguimiento.</t>
  </si>
  <si>
    <t xml:space="preserve">% CUMPLIMIENTO </t>
  </si>
  <si>
    <r>
      <t xml:space="preserve">Se encontraron diligenciados los formatos de vinculación GTH - FO- 033, GTH -FO - 030,  y GTH -FO -031 de los funcionarios vinculados a la entidad en el periodo correspondiente al corte de seguimiento.  </t>
    </r>
    <r>
      <rPr>
        <sz val="11"/>
        <rFont val="Arial Narrow"/>
        <family val="2"/>
      </rPr>
      <t xml:space="preserve">No obstante, no obran en las evidencias, los formatos GTH -FO - 030,  y GTH -FO -031 de ROSEMBERG SANABRIA VESGA. </t>
    </r>
    <r>
      <rPr>
        <sz val="11"/>
        <color rgb="FFFF0000"/>
        <rFont val="Arial Narrow"/>
        <family val="2"/>
      </rPr>
      <t xml:space="preserve">
</t>
    </r>
    <r>
      <rPr>
        <sz val="11"/>
        <rFont val="Arial Narrow"/>
        <family val="2"/>
      </rPr>
      <t>No se encontrarón listas de chequeo para retiro como lo indica el plan de acción, en su lugar, se encuentran actas de entrega de cargos, paz y salvos, entrega de expedientes, hojas de vida y declaraciones. El control es parcialmente eficiente.
Fecha de implementación del plan incoherente, debe ser posterior a las fechas de seguimiento.</t>
    </r>
  </si>
  <si>
    <t>SEGUIMIENTO SEGUNDO CUATRIMESTRE 2024 
- OFICINA DE CONTROL INTERNO</t>
  </si>
  <si>
    <t xml:space="preserve">Se dilitgenciaron los formatos GTH-FO-033 - Llista de chequeo, GTH -FO - 030, Confirmación de experiencia laboral y GTH -FO -031 verificación de cumplimento de requisitos, para los funcionarios que ingresaron en el cuatrimestre: Cindy Carolina Vera Contreras y María Paula Ordoñez al igual que la verificación de los documentos entregados para el retiro de funcionarios: Rosember Sanabria Vesga y Carolina Mantilla Díaz </t>
  </si>
  <si>
    <t xml:space="preserve">Fue actualizado el procedimiento de selección y vincualarción de conformidad con lo establecido en la Ley 581 de 2000 y fue creado el formato  GTH-FO-091 Cumplimiento Ley 581 de 2000 Cargos del Nivel decisorio </t>
  </si>
  <si>
    <t>Se actualiza la caracterización de la planta de personal teniendo en cuenta las vinculaciones y desvinculaciones</t>
  </si>
  <si>
    <t>Durante el segundo cuatrimestre  no se adelanto la actividad de digitalizacion de hojas de vida</t>
  </si>
  <si>
    <t>Durante el segundo cuatrimestre  no se adelanto proceso de auditoria</t>
  </si>
  <si>
    <t>Se elaboró plan de trabajo como resultado de la aplicación de las encuestas de clima laboral, cultura organizacional y percepción y atención
al ciudadano, realizadas en la entidad Área Metropolitana de Bucaramanga</t>
  </si>
  <si>
    <r>
      <t>Se encontraron diligenciados los formatos de vinculación GTH - FO- 033, GTH -FO - 030,  y GTH -FO -031 de los funcionarios vinculados a la entidad en el periodo correspondiente al corte de seguimiento.</t>
    </r>
    <r>
      <rPr>
        <sz val="11"/>
        <color rgb="FFFF0000"/>
        <rFont val="Arial Narrow"/>
        <family val="2"/>
      </rPr>
      <t xml:space="preserve">
</t>
    </r>
    <r>
      <rPr>
        <sz val="11"/>
        <rFont val="Arial Narrow"/>
        <family val="2"/>
      </rPr>
      <t>No se encontrarón listas de chequeo para retiro como lo indica el plan de acción, en su lugar, se encuentran actas de entrega de cargos, paz y salvos, entrega de expedientes, hojas de vida y declaraciones. El control es parcialmente eficiente.
Fecha de implementación del plan incoherente, debe ser posterior a las fechas de seguimiento.</t>
    </r>
  </si>
  <si>
    <t>N/A</t>
  </si>
  <si>
    <t>Por la naturaleza de la actividad de control, se entiende cumplida en el primer cuatrimestre.  En entrevista con el profesional responsable se señaló innecesario nuevos seguimientos.  En todo caso, se requiere actualizar las fechas de seguimiento.</t>
  </si>
  <si>
    <t>Se reportaron documentos que dan cuenta de la evaluación del clima laboral, cultura organizacional y de atención, percepción y satisfacción del cliente interno; no obstante, tales actividades no corresponden con el plan propuesto. El control es deficiente y permite la materialización del riesgo.
De acuerdo al seguimiento realizado por el Asesor Corporativo quien hace las veces de Jefe de Planeación, se recomienda ajustar las fechas de seguimiento, a fin que resulten acordes a los procedimientos de actualización de la gestión estratégica del talento humano.
Fecha de implementación del plan incoherente, debe ser posterior a las fechas de seguimiento.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</si>
</sst>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
      <b/>
      <sz val="12"/>
      <name val="Arial"/>
      <family val="2"/>
    </font>
    <font>
      <sz val="11"/>
      <name val="Arial"/>
      <family val="2"/>
    </font>
    <font>
      <b/>
      <sz val="14"/>
      <color theme="1"/>
      <name val="Arial Narrow"/>
      <family val="2"/>
    </font>
    <font>
      <sz val="11"/>
      <color rgb="FFFF0000"/>
      <name val="Arial Narrow"/>
      <family val="2"/>
    </font>
    <font>
      <b/>
      <sz val="16"/>
      <color theme="1"/>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3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4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8" fillId="3" borderId="30" xfId="0" applyFont="1" applyFill="1" applyBorder="1" applyAlignment="1">
      <alignment horizontal="justify" vertical="center" wrapText="1" readingOrder="1"/>
    </xf>
    <xf numFmtId="9" fontId="37" fillId="3" borderId="35" xfId="0" applyNumberFormat="1"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8" fillId="3" borderId="37" xfId="0" applyFont="1" applyFill="1" applyBorder="1" applyAlignment="1">
      <alignment horizontal="justify" vertical="center" wrapText="1" readingOrder="1"/>
    </xf>
    <xf numFmtId="0" fontId="38" fillId="3" borderId="38" xfId="0" applyFont="1" applyFill="1" applyBorder="1" applyAlignment="1">
      <alignment horizontal="center" vertical="center" wrapText="1" readingOrder="1"/>
    </xf>
    <xf numFmtId="0" fontId="46" fillId="3" borderId="0" xfId="0" applyFont="1" applyFill="1"/>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textRotation="9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14" fontId="1" fillId="0" borderId="2" xfId="0" applyNumberFormat="1" applyFont="1" applyBorder="1" applyAlignment="1" applyProtection="1">
      <alignment horizontal="center" vertical="center" wrapText="1"/>
      <protection locked="0"/>
    </xf>
    <xf numFmtId="164" fontId="1" fillId="9" borderId="2" xfId="1" applyNumberFormat="1" applyFont="1" applyFill="1" applyBorder="1" applyAlignment="1">
      <alignment horizontal="center" vertical="center"/>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top"/>
      <protection locked="0"/>
    </xf>
    <xf numFmtId="0" fontId="1" fillId="0" borderId="0" xfId="0" applyFont="1" applyFill="1" applyBorder="1"/>
    <xf numFmtId="0" fontId="1" fillId="16" borderId="2" xfId="0" applyFont="1" applyFill="1" applyBorder="1" applyAlignment="1">
      <alignment horizontal="center" vertical="center" wrapText="1"/>
    </xf>
    <xf numFmtId="0" fontId="1" fillId="16" borderId="2" xfId="0" applyFont="1" applyFill="1" applyBorder="1" applyAlignment="1">
      <alignment horizontal="justify" vertical="center" wrapText="1"/>
    </xf>
    <xf numFmtId="9" fontId="1" fillId="16" borderId="2" xfId="0" applyNumberFormat="1" applyFont="1" applyFill="1" applyBorder="1" applyAlignment="1">
      <alignment horizontal="center" vertical="center" wrapText="1"/>
    </xf>
    <xf numFmtId="9" fontId="1" fillId="16" borderId="2" xfId="1"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55" fillId="3" borderId="61" xfId="2" applyFont="1" applyFill="1" applyBorder="1" applyAlignment="1">
      <alignment horizontal="justify" vertical="center" wrapText="1"/>
    </xf>
    <xf numFmtId="0" fontId="55" fillId="3" borderId="62"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55" xfId="3" applyFont="1" applyFill="1" applyBorder="1" applyAlignment="1">
      <alignment horizontal="left" vertical="top" wrapText="1" readingOrder="1"/>
    </xf>
    <xf numFmtId="0" fontId="54" fillId="3" borderId="56" xfId="3" applyFont="1" applyFill="1" applyBorder="1" applyAlignment="1">
      <alignment horizontal="left" vertical="top" wrapText="1" readingOrder="1"/>
    </xf>
    <xf numFmtId="0" fontId="55" fillId="3" borderId="57" xfId="2" applyFont="1" applyFill="1" applyBorder="1" applyAlignment="1">
      <alignment horizontal="justify" vertical="center" wrapText="1"/>
    </xf>
    <xf numFmtId="0" fontId="55" fillId="3" borderId="58" xfId="2" applyFont="1" applyFill="1" applyBorder="1" applyAlignment="1">
      <alignment horizontal="justify" vertical="center" wrapText="1"/>
    </xf>
    <xf numFmtId="0" fontId="54" fillId="3" borderId="59" xfId="0" applyFont="1" applyFill="1" applyBorder="1" applyAlignment="1">
      <alignment horizontal="left" vertical="center" wrapText="1"/>
    </xf>
    <xf numFmtId="0" fontId="54" fillId="3" borderId="60" xfId="0" applyFont="1" applyFill="1" applyBorder="1" applyAlignment="1">
      <alignment horizontal="left"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0" xfId="0" applyFont="1" applyFill="1" applyBorder="1" applyAlignment="1">
      <alignment horizontal="left" vertical="center" wrapText="1"/>
    </xf>
    <xf numFmtId="0" fontId="54" fillId="3" borderId="71" xfId="0" applyFont="1" applyFill="1" applyBorder="1" applyAlignment="1">
      <alignment horizontal="left" vertical="center" wrapText="1"/>
    </xf>
    <xf numFmtId="0" fontId="55" fillId="3" borderId="63" xfId="0" applyFont="1" applyFill="1" applyBorder="1" applyAlignment="1">
      <alignment horizontal="justify" vertical="center" wrapText="1"/>
    </xf>
    <xf numFmtId="0" fontId="55" fillId="3" borderId="64" xfId="0" applyFont="1" applyFill="1" applyBorder="1" applyAlignment="1">
      <alignment horizontal="justify" vertical="center" wrapText="1"/>
    </xf>
    <xf numFmtId="0" fontId="50" fillId="14" borderId="45" xfId="2" applyFont="1" applyFill="1" applyBorder="1" applyAlignment="1">
      <alignment horizontal="center" vertical="center" wrapText="1"/>
    </xf>
    <xf numFmtId="0" fontId="50" fillId="14" borderId="46" xfId="2" applyFont="1" applyFill="1" applyBorder="1" applyAlignment="1">
      <alignment horizontal="center" vertical="center" wrapText="1"/>
    </xf>
    <xf numFmtId="0" fontId="50" fillId="14" borderId="4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1" fillId="3" borderId="48" xfId="2" quotePrefix="1" applyFont="1" applyFill="1" applyBorder="1" applyAlignment="1">
      <alignment horizontal="left" vertical="top" wrapText="1"/>
    </xf>
    <xf numFmtId="0" fontId="52" fillId="3" borderId="49"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1" xfId="3" applyFont="1" applyFill="1" applyBorder="1" applyAlignment="1">
      <alignment horizontal="center" vertical="center" wrapText="1"/>
    </xf>
    <xf numFmtId="0" fontId="54" fillId="14" borderId="52" xfId="3" applyFont="1" applyFill="1" applyBorder="1" applyAlignment="1">
      <alignment horizontal="center" vertical="center" wrapText="1"/>
    </xf>
    <xf numFmtId="0" fontId="54" fillId="14" borderId="53" xfId="2" applyFont="1" applyFill="1" applyBorder="1" applyAlignment="1">
      <alignment horizontal="center" vertical="center"/>
    </xf>
    <xf numFmtId="0" fontId="54" fillId="14"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58" fillId="0" borderId="30"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59" fillId="3" borderId="72" xfId="0" applyFont="1" applyFill="1" applyBorder="1" applyAlignment="1">
      <alignment horizontal="center" vertical="center" wrapText="1"/>
    </xf>
    <xf numFmtId="0" fontId="59" fillId="3" borderId="73" xfId="0" applyFont="1" applyFill="1" applyBorder="1" applyAlignment="1">
      <alignment horizontal="center" vertical="center" wrapText="1"/>
    </xf>
    <xf numFmtId="0" fontId="59" fillId="3" borderId="74" xfId="0" applyFont="1" applyFill="1" applyBorder="1" applyAlignment="1">
      <alignment horizontal="center" vertical="center" wrapText="1"/>
    </xf>
    <xf numFmtId="0" fontId="58" fillId="3" borderId="72" xfId="0" applyFont="1" applyFill="1" applyBorder="1" applyAlignment="1">
      <alignment horizontal="left" vertical="center"/>
    </xf>
    <xf numFmtId="0" fontId="58" fillId="3" borderId="74" xfId="0" applyFont="1" applyFill="1" applyBorder="1" applyAlignment="1">
      <alignment horizontal="left" vertical="center"/>
    </xf>
    <xf numFmtId="0" fontId="60" fillId="3" borderId="72" xfId="0" applyFont="1" applyFill="1" applyBorder="1" applyAlignment="1">
      <alignment horizontal="center" vertical="center"/>
    </xf>
    <xf numFmtId="0" fontId="60" fillId="3" borderId="73" xfId="0" applyFont="1" applyFill="1" applyBorder="1" applyAlignment="1">
      <alignment horizontal="center" vertical="center"/>
    </xf>
    <xf numFmtId="0" fontId="60" fillId="3" borderId="74" xfId="0" applyFont="1" applyFill="1" applyBorder="1" applyAlignment="1">
      <alignment horizontal="center" vertical="center"/>
    </xf>
    <xf numFmtId="0" fontId="63" fillId="0" borderId="30" xfId="0" applyFont="1" applyBorder="1" applyAlignment="1" applyProtection="1">
      <alignment horizontal="left" vertical="center"/>
      <protection locked="0"/>
    </xf>
    <xf numFmtId="0" fontId="8" fillId="0" borderId="30" xfId="0" applyFont="1" applyBorder="1" applyAlignment="1" applyProtection="1">
      <alignment horizontal="left" vertical="center" wrapText="1"/>
      <protection locked="0"/>
    </xf>
    <xf numFmtId="0" fontId="25" fillId="2" borderId="30" xfId="0" applyFont="1" applyFill="1" applyBorder="1" applyAlignment="1">
      <alignment horizontal="left" vertical="center"/>
    </xf>
    <xf numFmtId="0" fontId="61" fillId="2" borderId="4" xfId="0" applyFont="1" applyFill="1" applyBorder="1" applyAlignment="1">
      <alignment horizontal="center" vertical="center" textRotation="90"/>
    </xf>
    <xf numFmtId="0" fontId="61" fillId="2" borderId="5" xfId="0" applyFont="1" applyFill="1" applyBorder="1" applyAlignment="1">
      <alignment horizontal="center" vertical="center" textRotation="90"/>
    </xf>
    <xf numFmtId="0" fontId="4" fillId="16" borderId="6" xfId="0" applyFont="1" applyFill="1" applyBorder="1" applyAlignment="1">
      <alignment horizontal="center" vertical="center" wrapText="1"/>
    </xf>
    <xf numFmtId="0" fontId="4" fillId="16" borderId="10"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2" xfId="0" applyFont="1" applyFill="1" applyBorder="1" applyAlignment="1">
      <alignment horizontal="center" vertical="center" wrapText="1" readingOrder="1"/>
    </xf>
    <xf numFmtId="0" fontId="40" fillId="15" borderId="33" xfId="0" applyFont="1" applyFill="1" applyBorder="1" applyAlignment="1">
      <alignment horizontal="center" vertical="center" wrapText="1" readingOrder="1"/>
    </xf>
    <xf numFmtId="0" fontId="40" fillId="15" borderId="44"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1" xfId="0" applyFont="1" applyFill="1" applyBorder="1" applyAlignment="1">
      <alignment horizontal="center" vertical="center" wrapText="1" readingOrder="1"/>
    </xf>
    <xf numFmtId="0" fontId="37" fillId="15" borderId="42"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5</xdr:col>
      <xdr:colOff>240289</xdr:colOff>
      <xdr:row>1</xdr:row>
      <xdr:rowOff>1183641</xdr:rowOff>
    </xdr:to>
    <xdr:pic>
      <xdr:nvPicPr>
        <xdr:cNvPr id="2" name="Imagen 1" descr="LOGO NUEVO">
          <a:extLst>
            <a:ext uri="{FF2B5EF4-FFF2-40B4-BE49-F238E27FC236}">
              <a16:creationId xmlns="" xmlns:a16="http://schemas.microsoft.com/office/drawing/2014/main" id="{2F991BB0-868C-4BA6-8C11-F58EAF91E9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5" zoomScale="110" zoomScaleNormal="110" workbookViewId="0">
      <selection activeCell="E20" sqref="E20:F20"/>
    </sheetView>
  </sheetViews>
  <sheetFormatPr baseColWidth="10" defaultColWidth="11.42578125" defaultRowHeight="15" x14ac:dyDescent="0.25"/>
  <cols>
    <col min="1" max="1" width="2.85546875" style="82" customWidth="1"/>
    <col min="2" max="3" width="24.5703125" style="82" customWidth="1"/>
    <col min="4" max="4" width="16" style="82" customWidth="1"/>
    <col min="5" max="5" width="24.5703125" style="82" customWidth="1"/>
    <col min="6" max="6" width="27.5703125" style="82" customWidth="1"/>
    <col min="7" max="8" width="24.5703125" style="82" customWidth="1"/>
    <col min="9" max="16384" width="11.42578125" style="82"/>
  </cols>
  <sheetData>
    <row r="1" spans="2:8" ht="15.75" thickBot="1" x14ac:dyDescent="0.3"/>
    <row r="2" spans="2:8" ht="18" x14ac:dyDescent="0.25">
      <c r="B2" s="177" t="s">
        <v>164</v>
      </c>
      <c r="C2" s="178"/>
      <c r="D2" s="178"/>
      <c r="E2" s="178"/>
      <c r="F2" s="178"/>
      <c r="G2" s="178"/>
      <c r="H2" s="179"/>
    </row>
    <row r="3" spans="2:8" x14ac:dyDescent="0.25">
      <c r="B3" s="83"/>
      <c r="C3" s="84"/>
      <c r="D3" s="84"/>
      <c r="E3" s="84"/>
      <c r="F3" s="84"/>
      <c r="G3" s="84"/>
      <c r="H3" s="85"/>
    </row>
    <row r="4" spans="2:8" ht="63" customHeight="1" x14ac:dyDescent="0.25">
      <c r="B4" s="180" t="s">
        <v>207</v>
      </c>
      <c r="C4" s="181"/>
      <c r="D4" s="181"/>
      <c r="E4" s="181"/>
      <c r="F4" s="181"/>
      <c r="G4" s="181"/>
      <c r="H4" s="182"/>
    </row>
    <row r="5" spans="2:8" ht="63" customHeight="1" x14ac:dyDescent="0.25">
      <c r="B5" s="183"/>
      <c r="C5" s="184"/>
      <c r="D5" s="184"/>
      <c r="E5" s="184"/>
      <c r="F5" s="184"/>
      <c r="G5" s="184"/>
      <c r="H5" s="185"/>
    </row>
    <row r="6" spans="2:8" ht="16.5" x14ac:dyDescent="0.25">
      <c r="B6" s="186" t="s">
        <v>162</v>
      </c>
      <c r="C6" s="187"/>
      <c r="D6" s="187"/>
      <c r="E6" s="187"/>
      <c r="F6" s="187"/>
      <c r="G6" s="187"/>
      <c r="H6" s="188"/>
    </row>
    <row r="7" spans="2:8" ht="95.25" customHeight="1" x14ac:dyDescent="0.25">
      <c r="B7" s="196" t="s">
        <v>167</v>
      </c>
      <c r="C7" s="197"/>
      <c r="D7" s="197"/>
      <c r="E7" s="197"/>
      <c r="F7" s="197"/>
      <c r="G7" s="197"/>
      <c r="H7" s="198"/>
    </row>
    <row r="8" spans="2:8" ht="16.5" x14ac:dyDescent="0.25">
      <c r="B8" s="119"/>
      <c r="C8" s="120"/>
      <c r="D8" s="120"/>
      <c r="E8" s="120"/>
      <c r="F8" s="120"/>
      <c r="G8" s="120"/>
      <c r="H8" s="121"/>
    </row>
    <row r="9" spans="2:8" ht="16.5" customHeight="1" x14ac:dyDescent="0.25">
      <c r="B9" s="189" t="s">
        <v>200</v>
      </c>
      <c r="C9" s="190"/>
      <c r="D9" s="190"/>
      <c r="E9" s="190"/>
      <c r="F9" s="190"/>
      <c r="G9" s="190"/>
      <c r="H9" s="191"/>
    </row>
    <row r="10" spans="2:8" ht="44.25" customHeight="1" x14ac:dyDescent="0.25">
      <c r="B10" s="189"/>
      <c r="C10" s="190"/>
      <c r="D10" s="190"/>
      <c r="E10" s="190"/>
      <c r="F10" s="190"/>
      <c r="G10" s="190"/>
      <c r="H10" s="191"/>
    </row>
    <row r="11" spans="2:8" ht="15.75" thickBot="1" x14ac:dyDescent="0.3">
      <c r="B11" s="108"/>
      <c r="C11" s="111"/>
      <c r="D11" s="116"/>
      <c r="E11" s="117"/>
      <c r="F11" s="117"/>
      <c r="G11" s="118"/>
      <c r="H11" s="112"/>
    </row>
    <row r="12" spans="2:8" ht="15.75" thickTop="1" x14ac:dyDescent="0.25">
      <c r="B12" s="108"/>
      <c r="C12" s="192" t="s">
        <v>163</v>
      </c>
      <c r="D12" s="193"/>
      <c r="E12" s="194" t="s">
        <v>201</v>
      </c>
      <c r="F12" s="195"/>
      <c r="G12" s="111"/>
      <c r="H12" s="112"/>
    </row>
    <row r="13" spans="2:8" ht="35.25" customHeight="1" x14ac:dyDescent="0.25">
      <c r="B13" s="108"/>
      <c r="C13" s="164" t="s">
        <v>194</v>
      </c>
      <c r="D13" s="165"/>
      <c r="E13" s="166" t="s">
        <v>199</v>
      </c>
      <c r="F13" s="167"/>
      <c r="G13" s="111"/>
      <c r="H13" s="112"/>
    </row>
    <row r="14" spans="2:8" ht="17.25" customHeight="1" x14ac:dyDescent="0.25">
      <c r="B14" s="108"/>
      <c r="C14" s="164" t="s">
        <v>195</v>
      </c>
      <c r="D14" s="165"/>
      <c r="E14" s="166" t="s">
        <v>197</v>
      </c>
      <c r="F14" s="167"/>
      <c r="G14" s="111"/>
      <c r="H14" s="112"/>
    </row>
    <row r="15" spans="2:8" ht="19.5" customHeight="1" x14ac:dyDescent="0.25">
      <c r="B15" s="108"/>
      <c r="C15" s="164" t="s">
        <v>196</v>
      </c>
      <c r="D15" s="165"/>
      <c r="E15" s="166" t="s">
        <v>198</v>
      </c>
      <c r="F15" s="167"/>
      <c r="G15" s="111"/>
      <c r="H15" s="112"/>
    </row>
    <row r="16" spans="2:8" ht="69.75" customHeight="1" x14ac:dyDescent="0.25">
      <c r="B16" s="108"/>
      <c r="C16" s="164" t="s">
        <v>165</v>
      </c>
      <c r="D16" s="165"/>
      <c r="E16" s="166" t="s">
        <v>166</v>
      </c>
      <c r="F16" s="167"/>
      <c r="G16" s="111"/>
      <c r="H16" s="112"/>
    </row>
    <row r="17" spans="2:8" ht="34.5" customHeight="1" x14ac:dyDescent="0.25">
      <c r="B17" s="108"/>
      <c r="C17" s="168" t="s">
        <v>2</v>
      </c>
      <c r="D17" s="169"/>
      <c r="E17" s="160" t="s">
        <v>208</v>
      </c>
      <c r="F17" s="161"/>
      <c r="G17" s="111"/>
      <c r="H17" s="112"/>
    </row>
    <row r="18" spans="2:8" ht="27.75" customHeight="1" x14ac:dyDescent="0.25">
      <c r="B18" s="108"/>
      <c r="C18" s="168" t="s">
        <v>3</v>
      </c>
      <c r="D18" s="169"/>
      <c r="E18" s="160" t="s">
        <v>209</v>
      </c>
      <c r="F18" s="161"/>
      <c r="G18" s="111"/>
      <c r="H18" s="112"/>
    </row>
    <row r="19" spans="2:8" ht="28.5" customHeight="1" x14ac:dyDescent="0.25">
      <c r="B19" s="108"/>
      <c r="C19" s="168" t="s">
        <v>41</v>
      </c>
      <c r="D19" s="169"/>
      <c r="E19" s="160" t="s">
        <v>210</v>
      </c>
      <c r="F19" s="161"/>
      <c r="G19" s="111"/>
      <c r="H19" s="112"/>
    </row>
    <row r="20" spans="2:8" ht="72.75" customHeight="1" x14ac:dyDescent="0.25">
      <c r="B20" s="108"/>
      <c r="C20" s="168" t="s">
        <v>1</v>
      </c>
      <c r="D20" s="169"/>
      <c r="E20" s="160" t="s">
        <v>211</v>
      </c>
      <c r="F20" s="161"/>
      <c r="G20" s="111"/>
      <c r="H20" s="112"/>
    </row>
    <row r="21" spans="2:8" ht="64.5" customHeight="1" x14ac:dyDescent="0.25">
      <c r="B21" s="108"/>
      <c r="C21" s="168" t="s">
        <v>49</v>
      </c>
      <c r="D21" s="169"/>
      <c r="E21" s="160" t="s">
        <v>169</v>
      </c>
      <c r="F21" s="161"/>
      <c r="G21" s="111"/>
      <c r="H21" s="112"/>
    </row>
    <row r="22" spans="2:8" ht="71.25" customHeight="1" x14ac:dyDescent="0.25">
      <c r="B22" s="108"/>
      <c r="C22" s="168" t="s">
        <v>168</v>
      </c>
      <c r="D22" s="169"/>
      <c r="E22" s="160" t="s">
        <v>170</v>
      </c>
      <c r="F22" s="161"/>
      <c r="G22" s="111"/>
      <c r="H22" s="112"/>
    </row>
    <row r="23" spans="2:8" ht="55.5" customHeight="1" x14ac:dyDescent="0.25">
      <c r="B23" s="108"/>
      <c r="C23" s="162" t="s">
        <v>171</v>
      </c>
      <c r="D23" s="163"/>
      <c r="E23" s="160" t="s">
        <v>172</v>
      </c>
      <c r="F23" s="161"/>
      <c r="G23" s="111"/>
      <c r="H23" s="112"/>
    </row>
    <row r="24" spans="2:8" ht="42" customHeight="1" x14ac:dyDescent="0.25">
      <c r="B24" s="108"/>
      <c r="C24" s="162" t="s">
        <v>47</v>
      </c>
      <c r="D24" s="163"/>
      <c r="E24" s="160" t="s">
        <v>173</v>
      </c>
      <c r="F24" s="161"/>
      <c r="G24" s="111"/>
      <c r="H24" s="112"/>
    </row>
    <row r="25" spans="2:8" ht="59.25" customHeight="1" x14ac:dyDescent="0.25">
      <c r="B25" s="108"/>
      <c r="C25" s="162" t="s">
        <v>161</v>
      </c>
      <c r="D25" s="163"/>
      <c r="E25" s="160" t="s">
        <v>174</v>
      </c>
      <c r="F25" s="161"/>
      <c r="G25" s="111"/>
      <c r="H25" s="112"/>
    </row>
    <row r="26" spans="2:8" ht="23.25" customHeight="1" x14ac:dyDescent="0.25">
      <c r="B26" s="108"/>
      <c r="C26" s="162" t="s">
        <v>12</v>
      </c>
      <c r="D26" s="163"/>
      <c r="E26" s="160" t="s">
        <v>175</v>
      </c>
      <c r="F26" s="161"/>
      <c r="G26" s="111"/>
      <c r="H26" s="112"/>
    </row>
    <row r="27" spans="2:8" ht="30.75" customHeight="1" x14ac:dyDescent="0.25">
      <c r="B27" s="108"/>
      <c r="C27" s="162" t="s">
        <v>179</v>
      </c>
      <c r="D27" s="163"/>
      <c r="E27" s="160" t="s">
        <v>176</v>
      </c>
      <c r="F27" s="161"/>
      <c r="G27" s="111"/>
      <c r="H27" s="112"/>
    </row>
    <row r="28" spans="2:8" ht="35.25" customHeight="1" x14ac:dyDescent="0.25">
      <c r="B28" s="108"/>
      <c r="C28" s="162" t="s">
        <v>180</v>
      </c>
      <c r="D28" s="163"/>
      <c r="E28" s="160" t="s">
        <v>177</v>
      </c>
      <c r="F28" s="161"/>
      <c r="G28" s="111"/>
      <c r="H28" s="112"/>
    </row>
    <row r="29" spans="2:8" ht="33" customHeight="1" x14ac:dyDescent="0.25">
      <c r="B29" s="108"/>
      <c r="C29" s="162" t="s">
        <v>180</v>
      </c>
      <c r="D29" s="163"/>
      <c r="E29" s="160" t="s">
        <v>177</v>
      </c>
      <c r="F29" s="161"/>
      <c r="G29" s="111"/>
      <c r="H29" s="112"/>
    </row>
    <row r="30" spans="2:8" ht="30" customHeight="1" x14ac:dyDescent="0.25">
      <c r="B30" s="108"/>
      <c r="C30" s="162" t="s">
        <v>181</v>
      </c>
      <c r="D30" s="163"/>
      <c r="E30" s="160" t="s">
        <v>178</v>
      </c>
      <c r="F30" s="161"/>
      <c r="G30" s="111"/>
      <c r="H30" s="112"/>
    </row>
    <row r="31" spans="2:8" ht="35.25" customHeight="1" x14ac:dyDescent="0.25">
      <c r="B31" s="108"/>
      <c r="C31" s="162" t="s">
        <v>182</v>
      </c>
      <c r="D31" s="163"/>
      <c r="E31" s="160" t="s">
        <v>183</v>
      </c>
      <c r="F31" s="161"/>
      <c r="G31" s="111"/>
      <c r="H31" s="112"/>
    </row>
    <row r="32" spans="2:8" ht="31.5" customHeight="1" x14ac:dyDescent="0.25">
      <c r="B32" s="108"/>
      <c r="C32" s="162" t="s">
        <v>184</v>
      </c>
      <c r="D32" s="163"/>
      <c r="E32" s="160" t="s">
        <v>185</v>
      </c>
      <c r="F32" s="161"/>
      <c r="G32" s="111"/>
      <c r="H32" s="112"/>
    </row>
    <row r="33" spans="2:8" ht="35.25" customHeight="1" x14ac:dyDescent="0.25">
      <c r="B33" s="108"/>
      <c r="C33" s="162" t="s">
        <v>186</v>
      </c>
      <c r="D33" s="163"/>
      <c r="E33" s="160" t="s">
        <v>187</v>
      </c>
      <c r="F33" s="161"/>
      <c r="G33" s="111"/>
      <c r="H33" s="112"/>
    </row>
    <row r="34" spans="2:8" ht="59.25" customHeight="1" x14ac:dyDescent="0.25">
      <c r="B34" s="108"/>
      <c r="C34" s="162" t="s">
        <v>188</v>
      </c>
      <c r="D34" s="163"/>
      <c r="E34" s="160" t="s">
        <v>189</v>
      </c>
      <c r="F34" s="161"/>
      <c r="G34" s="111"/>
      <c r="H34" s="112"/>
    </row>
    <row r="35" spans="2:8" ht="29.25" customHeight="1" x14ac:dyDescent="0.25">
      <c r="B35" s="108"/>
      <c r="C35" s="162" t="s">
        <v>29</v>
      </c>
      <c r="D35" s="163"/>
      <c r="E35" s="160" t="s">
        <v>190</v>
      </c>
      <c r="F35" s="161"/>
      <c r="G35" s="111"/>
      <c r="H35" s="112"/>
    </row>
    <row r="36" spans="2:8" ht="82.5" customHeight="1" x14ac:dyDescent="0.25">
      <c r="B36" s="108"/>
      <c r="C36" s="162" t="s">
        <v>192</v>
      </c>
      <c r="D36" s="163"/>
      <c r="E36" s="160" t="s">
        <v>191</v>
      </c>
      <c r="F36" s="161"/>
      <c r="G36" s="111"/>
      <c r="H36" s="112"/>
    </row>
    <row r="37" spans="2:8" ht="46.5" customHeight="1" x14ac:dyDescent="0.25">
      <c r="B37" s="108"/>
      <c r="C37" s="162" t="s">
        <v>38</v>
      </c>
      <c r="D37" s="163"/>
      <c r="E37" s="160" t="s">
        <v>193</v>
      </c>
      <c r="F37" s="161"/>
      <c r="G37" s="111"/>
      <c r="H37" s="112"/>
    </row>
    <row r="38" spans="2:8" ht="6.75" customHeight="1" thickBot="1" x14ac:dyDescent="0.3">
      <c r="B38" s="108"/>
      <c r="C38" s="173"/>
      <c r="D38" s="174"/>
      <c r="E38" s="175"/>
      <c r="F38" s="176"/>
      <c r="G38" s="111"/>
      <c r="H38" s="112"/>
    </row>
    <row r="39" spans="2:8" ht="15.75" thickTop="1" x14ac:dyDescent="0.25">
      <c r="B39" s="108"/>
      <c r="C39" s="109"/>
      <c r="D39" s="109"/>
      <c r="E39" s="110"/>
      <c r="F39" s="110"/>
      <c r="G39" s="111"/>
      <c r="H39" s="112"/>
    </row>
    <row r="40" spans="2:8" ht="21" customHeight="1" x14ac:dyDescent="0.25">
      <c r="B40" s="170" t="s">
        <v>202</v>
      </c>
      <c r="C40" s="171"/>
      <c r="D40" s="171"/>
      <c r="E40" s="171"/>
      <c r="F40" s="171"/>
      <c r="G40" s="171"/>
      <c r="H40" s="172"/>
    </row>
    <row r="41" spans="2:8" ht="20.25" customHeight="1" x14ac:dyDescent="0.25">
      <c r="B41" s="170" t="s">
        <v>203</v>
      </c>
      <c r="C41" s="171"/>
      <c r="D41" s="171"/>
      <c r="E41" s="171"/>
      <c r="F41" s="171"/>
      <c r="G41" s="171"/>
      <c r="H41" s="172"/>
    </row>
    <row r="42" spans="2:8" ht="20.25" customHeight="1" x14ac:dyDescent="0.25">
      <c r="B42" s="170" t="s">
        <v>204</v>
      </c>
      <c r="C42" s="171"/>
      <c r="D42" s="171"/>
      <c r="E42" s="171"/>
      <c r="F42" s="171"/>
      <c r="G42" s="171"/>
      <c r="H42" s="172"/>
    </row>
    <row r="43" spans="2:8" ht="20.25" customHeight="1" x14ac:dyDescent="0.25">
      <c r="B43" s="170" t="s">
        <v>205</v>
      </c>
      <c r="C43" s="171"/>
      <c r="D43" s="171"/>
      <c r="E43" s="171"/>
      <c r="F43" s="171"/>
      <c r="G43" s="171"/>
      <c r="H43" s="172"/>
    </row>
    <row r="44" spans="2:8" x14ac:dyDescent="0.25">
      <c r="B44" s="170" t="s">
        <v>206</v>
      </c>
      <c r="C44" s="171"/>
      <c r="D44" s="171"/>
      <c r="E44" s="171"/>
      <c r="F44" s="171"/>
      <c r="G44" s="171"/>
      <c r="H44" s="172"/>
    </row>
    <row r="45" spans="2:8" ht="15.75" thickBot="1" x14ac:dyDescent="0.3">
      <c r="B45" s="113"/>
      <c r="C45" s="114"/>
      <c r="D45" s="114"/>
      <c r="E45" s="114"/>
      <c r="F45" s="114"/>
      <c r="G45" s="114"/>
      <c r="H45" s="115"/>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topLeftCell="A4" zoomScale="90" zoomScaleNormal="90" workbookViewId="0">
      <pane xSplit="5" ySplit="6" topLeftCell="F10" activePane="bottomRight" state="frozen"/>
      <selection activeCell="A4" sqref="A4"/>
      <selection pane="topRight" activeCell="F4" sqref="F4"/>
      <selection pane="bottomLeft" activeCell="A10" sqref="A10"/>
      <selection pane="bottomRight" activeCell="AL4" sqref="AL1:AN1048576"/>
    </sheetView>
  </sheetViews>
  <sheetFormatPr baseColWidth="10" defaultColWidth="11.42578125" defaultRowHeight="16.5" outlineLevelCol="1" x14ac:dyDescent="0.3"/>
  <cols>
    <col min="1" max="1" width="4" style="2" bestFit="1" customWidth="1"/>
    <col min="2" max="2" width="12.140625" style="2" customWidth="1"/>
    <col min="3" max="3" width="15.7109375" style="2" customWidth="1"/>
    <col min="4" max="4" width="15.85546875" style="2" customWidth="1"/>
    <col min="5" max="5" width="20.28515625" style="1" customWidth="1"/>
    <col min="6" max="6" width="19" style="5" customWidth="1"/>
    <col min="7" max="7" width="14.140625" style="1" customWidth="1"/>
    <col min="8" max="8" width="9.85546875" style="1" customWidth="1"/>
    <col min="9" max="9" width="9.5703125" style="1" customWidth="1"/>
    <col min="10" max="10" width="12.140625" style="1" customWidth="1"/>
    <col min="11" max="11" width="15.5703125" style="1" customWidth="1"/>
    <col min="12" max="12" width="12.42578125" style="1" customWidth="1"/>
    <col min="13" max="13" width="8.140625" style="1" customWidth="1"/>
    <col min="14" max="14" width="12.7109375" style="1" customWidth="1"/>
    <col min="15" max="15" width="5.85546875" style="1" customWidth="1"/>
    <col min="16" max="16" width="31" style="1" customWidth="1"/>
    <col min="17" max="17" width="15.140625" style="1" hidden="1" customWidth="1" outlineLevel="1"/>
    <col min="18" max="18" width="6.85546875" style="1" hidden="1" customWidth="1" outlineLevel="1"/>
    <col min="19" max="19" width="5" style="1" hidden="1" customWidth="1" outlineLevel="1"/>
    <col min="20" max="20" width="5.5703125" style="1" hidden="1" customWidth="1" outlineLevel="1"/>
    <col min="21" max="21" width="7.140625" style="1" hidden="1" customWidth="1" outlineLevel="1"/>
    <col min="22" max="22" width="6.5703125" style="1" hidden="1" customWidth="1" outlineLevel="1"/>
    <col min="23" max="23" width="7.5703125" style="1" hidden="1" customWidth="1" outlineLevel="1"/>
    <col min="24" max="24" width="13.7109375" style="1" hidden="1" customWidth="1" outlineLevel="1"/>
    <col min="25" max="25" width="8.5703125" style="1" hidden="1" customWidth="1" outlineLevel="1"/>
    <col min="26" max="26" width="10.42578125" style="1" hidden="1" customWidth="1" outlineLevel="1"/>
    <col min="27" max="27" width="9.42578125" style="1" hidden="1" customWidth="1" outlineLevel="1"/>
    <col min="28" max="28" width="9.140625" style="1" hidden="1" customWidth="1" outlineLevel="1"/>
    <col min="29" max="29" width="8.42578125" style="1" hidden="1" customWidth="1" outlineLevel="1"/>
    <col min="30" max="30" width="7.42578125" style="1" hidden="1" customWidth="1" outlineLevel="1"/>
    <col min="31" max="31" width="23" style="1" customWidth="1" collapsed="1"/>
    <col min="32" max="32" width="24.42578125" style="1" customWidth="1"/>
    <col min="33" max="33" width="16.42578125" style="1" customWidth="1"/>
    <col min="34" max="34" width="16.140625" style="1" customWidth="1"/>
    <col min="35" max="35" width="14.85546875" style="1" customWidth="1"/>
    <col min="36" max="36" width="9" style="1" customWidth="1"/>
    <col min="37" max="37" width="16.5703125" style="1" customWidth="1"/>
    <col min="38" max="38" width="16.42578125" style="154" hidden="1" customWidth="1" outlineLevel="1"/>
    <col min="39" max="39" width="21.7109375" style="154" hidden="1" customWidth="1" outlineLevel="1"/>
    <col min="40" max="40" width="47.42578125" style="154" hidden="1" customWidth="1" outlineLevel="1"/>
    <col min="41" max="41" width="16.42578125" style="154" customWidth="1" collapsed="1"/>
    <col min="42" max="42" width="21.7109375" style="1" customWidth="1"/>
    <col min="43" max="43" width="47.42578125" style="1" customWidth="1"/>
    <col min="44" max="16384" width="11.42578125" style="1"/>
  </cols>
  <sheetData>
    <row r="1" spans="1:68" ht="16.5" customHeight="1" x14ac:dyDescent="0.3">
      <c r="A1" s="257"/>
      <c r="B1" s="257"/>
      <c r="C1" s="257"/>
      <c r="D1" s="257"/>
      <c r="E1" s="264" t="s">
        <v>226</v>
      </c>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6"/>
      <c r="AJ1" s="267" t="s">
        <v>227</v>
      </c>
      <c r="AK1" s="268"/>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98.1" customHeight="1" x14ac:dyDescent="0.3">
      <c r="A2" s="257"/>
      <c r="B2" s="257"/>
      <c r="C2" s="257"/>
      <c r="D2" s="257"/>
      <c r="E2" s="269" t="s">
        <v>228</v>
      </c>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1"/>
      <c r="AJ2" s="267" t="s">
        <v>229</v>
      </c>
      <c r="AK2" s="268"/>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x14ac:dyDescent="0.3">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26.25" customHeight="1" x14ac:dyDescent="0.3">
      <c r="A4" s="274" t="s">
        <v>42</v>
      </c>
      <c r="B4" s="274"/>
      <c r="C4" s="272" t="s">
        <v>214</v>
      </c>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36.75" customHeight="1" x14ac:dyDescent="0.3">
      <c r="A5" s="274" t="s">
        <v>129</v>
      </c>
      <c r="B5" s="274"/>
      <c r="C5" s="273" t="s">
        <v>217</v>
      </c>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23.25" x14ac:dyDescent="0.3">
      <c r="A6" s="274" t="s">
        <v>43</v>
      </c>
      <c r="B6" s="274"/>
      <c r="C6" s="273" t="s">
        <v>215</v>
      </c>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ht="37.5" customHeight="1" x14ac:dyDescent="0.3">
      <c r="A7" s="258" t="s">
        <v>138</v>
      </c>
      <c r="B7" s="259"/>
      <c r="C7" s="259"/>
      <c r="D7" s="259"/>
      <c r="E7" s="259"/>
      <c r="F7" s="259"/>
      <c r="G7" s="260"/>
      <c r="H7" s="258" t="s">
        <v>139</v>
      </c>
      <c r="I7" s="259"/>
      <c r="J7" s="259"/>
      <c r="K7" s="259"/>
      <c r="L7" s="259"/>
      <c r="M7" s="259"/>
      <c r="N7" s="260"/>
      <c r="O7" s="258" t="s">
        <v>140</v>
      </c>
      <c r="P7" s="259"/>
      <c r="Q7" s="259"/>
      <c r="R7" s="259"/>
      <c r="S7" s="259"/>
      <c r="T7" s="259"/>
      <c r="U7" s="259"/>
      <c r="V7" s="259"/>
      <c r="W7" s="260"/>
      <c r="X7" s="258" t="s">
        <v>141</v>
      </c>
      <c r="Y7" s="259"/>
      <c r="Z7" s="259"/>
      <c r="AA7" s="259"/>
      <c r="AB7" s="259"/>
      <c r="AC7" s="259"/>
      <c r="AD7" s="260"/>
      <c r="AE7" s="258" t="s">
        <v>34</v>
      </c>
      <c r="AF7" s="259"/>
      <c r="AG7" s="259"/>
      <c r="AH7" s="259"/>
      <c r="AI7" s="259"/>
      <c r="AJ7" s="259"/>
      <c r="AK7" s="260"/>
      <c r="AL7" s="277" t="s">
        <v>251</v>
      </c>
      <c r="AM7" s="278"/>
      <c r="AN7" s="279"/>
      <c r="AO7" s="277" t="s">
        <v>260</v>
      </c>
      <c r="AP7" s="278"/>
      <c r="AQ7" s="279"/>
      <c r="AR7" s="7"/>
      <c r="AS7" s="7"/>
      <c r="AT7" s="7"/>
      <c r="AU7" s="7"/>
      <c r="AV7" s="7"/>
      <c r="AW7" s="7"/>
      <c r="AX7" s="7"/>
      <c r="AY7" s="7"/>
      <c r="AZ7" s="7"/>
      <c r="BA7" s="7"/>
      <c r="BB7" s="7"/>
      <c r="BC7" s="7"/>
      <c r="BD7" s="7"/>
      <c r="BE7" s="7"/>
      <c r="BF7" s="7"/>
      <c r="BG7" s="7"/>
      <c r="BH7" s="7"/>
      <c r="BI7" s="7"/>
      <c r="BJ7" s="7"/>
      <c r="BK7" s="7"/>
      <c r="BL7" s="7"/>
      <c r="BM7" s="7"/>
      <c r="BN7" s="7"/>
      <c r="BO7" s="7"/>
      <c r="BP7" s="7"/>
    </row>
    <row r="8" spans="1:68" ht="16.5" customHeight="1" x14ac:dyDescent="0.3">
      <c r="A8" s="275" t="s">
        <v>0</v>
      </c>
      <c r="B8" s="281" t="s">
        <v>2</v>
      </c>
      <c r="C8" s="251" t="s">
        <v>3</v>
      </c>
      <c r="D8" s="251" t="s">
        <v>41</v>
      </c>
      <c r="E8" s="251" t="s">
        <v>1</v>
      </c>
      <c r="F8" s="250" t="s">
        <v>49</v>
      </c>
      <c r="G8" s="251" t="s">
        <v>134</v>
      </c>
      <c r="H8" s="261" t="s">
        <v>33</v>
      </c>
      <c r="I8" s="262" t="s">
        <v>5</v>
      </c>
      <c r="J8" s="250" t="s">
        <v>86</v>
      </c>
      <c r="K8" s="250" t="s">
        <v>91</v>
      </c>
      <c r="L8" s="263" t="s">
        <v>44</v>
      </c>
      <c r="M8" s="262" t="s">
        <v>5</v>
      </c>
      <c r="N8" s="251" t="s">
        <v>47</v>
      </c>
      <c r="O8" s="254" t="s">
        <v>11</v>
      </c>
      <c r="P8" s="252" t="s">
        <v>161</v>
      </c>
      <c r="Q8" s="250" t="s">
        <v>12</v>
      </c>
      <c r="R8" s="252" t="s">
        <v>8</v>
      </c>
      <c r="S8" s="252"/>
      <c r="T8" s="252"/>
      <c r="U8" s="252"/>
      <c r="V8" s="252"/>
      <c r="W8" s="252"/>
      <c r="X8" s="256" t="s">
        <v>137</v>
      </c>
      <c r="Y8" s="256" t="s">
        <v>45</v>
      </c>
      <c r="Z8" s="256" t="s">
        <v>5</v>
      </c>
      <c r="AA8" s="256" t="s">
        <v>46</v>
      </c>
      <c r="AB8" s="256" t="s">
        <v>5</v>
      </c>
      <c r="AC8" s="256" t="s">
        <v>48</v>
      </c>
      <c r="AD8" s="254" t="s">
        <v>29</v>
      </c>
      <c r="AE8" s="252" t="s">
        <v>34</v>
      </c>
      <c r="AF8" s="252" t="s">
        <v>216</v>
      </c>
      <c r="AG8" s="252" t="s">
        <v>35</v>
      </c>
      <c r="AH8" s="252" t="s">
        <v>36</v>
      </c>
      <c r="AI8" s="252" t="s">
        <v>37</v>
      </c>
      <c r="AJ8" s="252" t="s">
        <v>233</v>
      </c>
      <c r="AK8" s="253" t="s">
        <v>38</v>
      </c>
      <c r="AL8" s="277" t="s">
        <v>258</v>
      </c>
      <c r="AM8" s="277" t="s">
        <v>246</v>
      </c>
      <c r="AN8" s="280" t="s">
        <v>247</v>
      </c>
      <c r="AO8" s="277" t="s">
        <v>258</v>
      </c>
      <c r="AP8" s="277" t="s">
        <v>246</v>
      </c>
      <c r="AQ8" s="280" t="s">
        <v>247</v>
      </c>
      <c r="AR8" s="7"/>
      <c r="AS8" s="7"/>
      <c r="AT8" s="7"/>
      <c r="AU8" s="7"/>
      <c r="AV8" s="7"/>
      <c r="AW8" s="7"/>
      <c r="AX8" s="7"/>
      <c r="AY8" s="7"/>
      <c r="AZ8" s="7"/>
      <c r="BA8" s="7"/>
      <c r="BB8" s="7"/>
      <c r="BC8" s="7"/>
      <c r="BD8" s="7"/>
      <c r="BE8" s="7"/>
      <c r="BF8" s="7"/>
      <c r="BG8" s="7"/>
      <c r="BH8" s="7"/>
      <c r="BI8" s="7"/>
      <c r="BJ8" s="7"/>
      <c r="BK8" s="7"/>
      <c r="BL8" s="7"/>
      <c r="BM8" s="7"/>
      <c r="BN8" s="7"/>
      <c r="BO8" s="7"/>
      <c r="BP8" s="7"/>
    </row>
    <row r="9" spans="1:68" s="4" customFormat="1" ht="57.75" customHeight="1" x14ac:dyDescent="0.25">
      <c r="A9" s="276"/>
      <c r="B9" s="281"/>
      <c r="C9" s="252"/>
      <c r="D9" s="252"/>
      <c r="E9" s="252"/>
      <c r="F9" s="251"/>
      <c r="G9" s="252"/>
      <c r="H9" s="251"/>
      <c r="I9" s="258"/>
      <c r="J9" s="251"/>
      <c r="K9" s="251"/>
      <c r="L9" s="258"/>
      <c r="M9" s="258"/>
      <c r="N9" s="252"/>
      <c r="O9" s="255"/>
      <c r="P9" s="252"/>
      <c r="Q9" s="251"/>
      <c r="R9" s="141" t="s">
        <v>13</v>
      </c>
      <c r="S9" s="141" t="s">
        <v>17</v>
      </c>
      <c r="T9" s="141" t="s">
        <v>28</v>
      </c>
      <c r="U9" s="141" t="s">
        <v>18</v>
      </c>
      <c r="V9" s="141" t="s">
        <v>21</v>
      </c>
      <c r="W9" s="141" t="s">
        <v>24</v>
      </c>
      <c r="X9" s="256"/>
      <c r="Y9" s="256"/>
      <c r="Z9" s="256"/>
      <c r="AA9" s="256"/>
      <c r="AB9" s="256"/>
      <c r="AC9" s="256"/>
      <c r="AD9" s="255"/>
      <c r="AE9" s="252"/>
      <c r="AF9" s="252"/>
      <c r="AG9" s="252"/>
      <c r="AH9" s="252"/>
      <c r="AI9" s="252"/>
      <c r="AJ9" s="252"/>
      <c r="AK9" s="253"/>
      <c r="AL9" s="277" t="s">
        <v>245</v>
      </c>
      <c r="AM9" s="277" t="s">
        <v>246</v>
      </c>
      <c r="AN9" s="280"/>
      <c r="AO9" s="277" t="s">
        <v>245</v>
      </c>
      <c r="AP9" s="277" t="s">
        <v>246</v>
      </c>
      <c r="AQ9" s="280"/>
      <c r="AR9" s="24"/>
      <c r="AS9" s="24"/>
      <c r="AT9" s="24"/>
      <c r="AU9" s="24"/>
      <c r="AV9" s="24"/>
      <c r="AW9" s="24"/>
      <c r="AX9" s="24"/>
      <c r="AY9" s="24"/>
      <c r="AZ9" s="24"/>
      <c r="BA9" s="24"/>
      <c r="BB9" s="24"/>
      <c r="BC9" s="24"/>
      <c r="BD9" s="24"/>
      <c r="BE9" s="24"/>
      <c r="BF9" s="24"/>
      <c r="BG9" s="24"/>
      <c r="BH9" s="24"/>
      <c r="BI9" s="24"/>
      <c r="BJ9" s="24"/>
      <c r="BK9" s="24"/>
      <c r="BL9" s="24"/>
      <c r="BM9" s="24"/>
      <c r="BN9" s="24"/>
      <c r="BO9" s="24"/>
      <c r="BP9" s="24"/>
    </row>
    <row r="10" spans="1:68" s="2" customFormat="1" ht="270" customHeight="1" x14ac:dyDescent="0.25">
      <c r="A10" s="244">
        <v>1</v>
      </c>
      <c r="B10" s="223" t="s">
        <v>131</v>
      </c>
      <c r="C10" s="223" t="s">
        <v>239</v>
      </c>
      <c r="D10" s="223" t="s">
        <v>234</v>
      </c>
      <c r="E10" s="247" t="s">
        <v>230</v>
      </c>
      <c r="F10" s="223" t="s">
        <v>122</v>
      </c>
      <c r="G10" s="229">
        <v>12</v>
      </c>
      <c r="H10" s="232" t="str">
        <f>IF(G10&lt;=0,"",IF(G10&lt;=2,"Muy Baja",IF(G10&lt;=24,"Baja",IF(G10&lt;=500,"Media",IF(G10&lt;=5000,"Alta","Muy Alta")))))</f>
        <v>Baja</v>
      </c>
      <c r="I10" s="235">
        <f>IF(H10="","",IF(H10="Muy Baja",0.2,IF(H10="Baja",0.4,IF(H10="Media",0.6,IF(H10="Alta",0.8,IF(H10="Muy Alta",1,))))))</f>
        <v>0.4</v>
      </c>
      <c r="J10" s="241" t="s">
        <v>153</v>
      </c>
      <c r="K10" s="235"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32" t="str">
        <f>IF(OR(K10='Tabla Impacto'!$C$11,K10='Tabla Impacto'!$D$11),"Leve",IF(OR(K10='Tabla Impacto'!$C$12,K10='Tabla Impacto'!$D$12),"Menor",IF(OR(K10='Tabla Impacto'!$C$13,K10='Tabla Impacto'!$D$13),"Moderado",IF(OR(K10='Tabla Impacto'!$C$14,K10='Tabla Impacto'!$D$14),"Mayor",IF(OR(K10='Tabla Impacto'!$C$15,K10='Tabla Impacto'!$D$15),"Catastrófico","")))))</f>
        <v>Moderado</v>
      </c>
      <c r="M10" s="235">
        <f>IF(L10="","",IF(L10="Leve",0.2,IF(L10="Menor",0.4,IF(L10="Moderado",0.6,IF(L10="Mayor",0.8,IF(L10="Catastrófico",1,))))))</f>
        <v>0.6</v>
      </c>
      <c r="N10" s="23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6">
        <v>1</v>
      </c>
      <c r="P10" s="139" t="s">
        <v>220</v>
      </c>
      <c r="Q10" s="142" t="str">
        <f>IF(OR(R10="Preventivo",R10="Detectivo"),"Probabilidad",IF(R10="Correctivo","Impacto",""))</f>
        <v>Probabilidad</v>
      </c>
      <c r="R10" s="143" t="s">
        <v>15</v>
      </c>
      <c r="S10" s="143" t="s">
        <v>10</v>
      </c>
      <c r="T10" s="144" t="str">
        <f>IF(AND(R10="Preventivo",S10="Automático"),"50%",IF(AND(R10="Preventivo",S10="Manual"),"40%",IF(AND(R10="Detectivo",S10="Automático"),"40%",IF(AND(R10="Detectivo",S10="Manual"),"30%",IF(AND(R10="Correctivo",S10="Automático"),"35%",IF(AND(R10="Correctivo",S10="Manual"),"25%",""))))))</f>
        <v>40%</v>
      </c>
      <c r="U10" s="143" t="s">
        <v>19</v>
      </c>
      <c r="V10" s="143" t="s">
        <v>22</v>
      </c>
      <c r="W10" s="143" t="s">
        <v>118</v>
      </c>
      <c r="X10" s="145">
        <f>IFERROR(IF(Q10="Probabilidad",(I10-(+I10*T10)),IF(Q10="Impacto",I10,"")),"")</f>
        <v>0.24</v>
      </c>
      <c r="Y10" s="146" t="str">
        <f>IFERROR(IF(X10="","",IF(X10&lt;=0.2,"Muy Baja",IF(X10&lt;=0.4,"Baja",IF(X10&lt;=0.6,"Media",IF(X10&lt;=0.8,"Alta","Muy Alta"))))),"")</f>
        <v>Baja</v>
      </c>
      <c r="Z10" s="147">
        <f>+X10</f>
        <v>0.24</v>
      </c>
      <c r="AA10" s="146" t="str">
        <f>IFERROR(IF(AB10="","",IF(AB10&lt;=0.2,"Leve",IF(AB10&lt;=0.4,"Menor",IF(AB10&lt;=0.6,"Moderado",IF(AB10&lt;=0.8,"Mayor","Catastrófico"))))),"")</f>
        <v>Moderado</v>
      </c>
      <c r="AB10" s="147">
        <f>IFERROR(IF(Q10="Impacto",(M10-(+M10*T10)),IF(Q10="Probabilidad",M10,"")),"")</f>
        <v>0.6</v>
      </c>
      <c r="AC10" s="148"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9" t="s">
        <v>136</v>
      </c>
      <c r="AE10" s="139" t="s">
        <v>223</v>
      </c>
      <c r="AF10" s="139" t="s">
        <v>261</v>
      </c>
      <c r="AG10" s="139" t="s">
        <v>225</v>
      </c>
      <c r="AH10" s="140">
        <v>45292</v>
      </c>
      <c r="AI10" s="150" t="s">
        <v>240</v>
      </c>
      <c r="AJ10" s="139"/>
      <c r="AK10" s="152" t="s">
        <v>40</v>
      </c>
      <c r="AL10" s="158">
        <v>0.75</v>
      </c>
      <c r="AM10" s="156" t="s">
        <v>250</v>
      </c>
      <c r="AN10" s="156" t="s">
        <v>259</v>
      </c>
      <c r="AO10" s="158">
        <v>0.75</v>
      </c>
      <c r="AP10" s="156" t="s">
        <v>250</v>
      </c>
      <c r="AQ10" s="156" t="s">
        <v>267</v>
      </c>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s="3" customFormat="1" ht="171" customHeight="1" x14ac:dyDescent="0.25">
      <c r="A11" s="245"/>
      <c r="B11" s="224"/>
      <c r="C11" s="224"/>
      <c r="D11" s="224"/>
      <c r="E11" s="248"/>
      <c r="F11" s="224"/>
      <c r="G11" s="230"/>
      <c r="H11" s="233"/>
      <c r="I11" s="236"/>
      <c r="J11" s="242"/>
      <c r="K11" s="236">
        <f ca="1">IF(NOT(ISERROR(MATCH(J11,_xlfn.ANCHORARRAY(E22),0))),I24&amp;"Por favor no seleccionar los criterios de impacto",J11)</f>
        <v>0</v>
      </c>
      <c r="L11" s="233"/>
      <c r="M11" s="236"/>
      <c r="N11" s="239"/>
      <c r="O11" s="6">
        <v>2</v>
      </c>
      <c r="P11" s="139" t="s">
        <v>236</v>
      </c>
      <c r="Q11" s="142" t="s">
        <v>4</v>
      </c>
      <c r="R11" s="143" t="s">
        <v>14</v>
      </c>
      <c r="S11" s="143" t="s">
        <v>9</v>
      </c>
      <c r="T11" s="144" t="str">
        <f t="shared" ref="T11:T15" si="0">IF(AND(R11="Preventivo",S11="Automático"),"50%",IF(AND(R11="Preventivo",S11="Manual"),"40%",IF(AND(R11="Detectivo",S11="Automático"),"40%",IF(AND(R11="Detectivo",S11="Manual"),"30%",IF(AND(R11="Correctivo",S11="Automático"),"35%",IF(AND(R11="Correctivo",S11="Manual"),"25%",""))))))</f>
        <v>40%</v>
      </c>
      <c r="U11" s="143" t="s">
        <v>19</v>
      </c>
      <c r="V11" s="143" t="s">
        <v>22</v>
      </c>
      <c r="W11" s="143" t="s">
        <v>118</v>
      </c>
      <c r="X11" s="145">
        <f>IFERROR(IF(AND(Q10="Probabilidad",Q11="Probabilidad"),(Z10-(+Z10*T11)),IF(Q11="Probabilidad",(I10-(+I10*T11)),IF(Q11="Impacto",Z10,""))),"")</f>
        <v>0.14399999999999999</v>
      </c>
      <c r="Y11" s="146" t="str">
        <f t="shared" ref="Y11:Y69" si="1">IFERROR(IF(X11="","",IF(X11&lt;=0.2,"Muy Baja",IF(X11&lt;=0.4,"Baja",IF(X11&lt;=0.6,"Media",IF(X11&lt;=0.8,"Alta","Muy Alta"))))),"")</f>
        <v>Muy Baja</v>
      </c>
      <c r="Z11" s="147">
        <f t="shared" ref="Z11:Z15" si="2">+X11</f>
        <v>0.14399999999999999</v>
      </c>
      <c r="AA11" s="146" t="str">
        <f t="shared" ref="AA11:AA69" si="3">IFERROR(IF(AB11="","",IF(AB11&lt;=0.2,"Leve",IF(AB11&lt;=0.4,"Menor",IF(AB11&lt;=0.6,"Moderado",IF(AB11&lt;=0.8,"Mayor","Catastrófico"))))),"")</f>
        <v>Moderado</v>
      </c>
      <c r="AB11" s="147">
        <f>IFERROR(IF(AND(Q10="Impacto",Q11="Impacto"),(AB10-(+AB10*T11)),IF(Q11="Impacto",(M10-(+M10*T11)),IF(Q11="Probabilidad",AB10,""))),"")</f>
        <v>0.6</v>
      </c>
      <c r="AC11" s="148"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49" t="s">
        <v>135</v>
      </c>
      <c r="AE11" s="139" t="s">
        <v>237</v>
      </c>
      <c r="AF11" s="139" t="s">
        <v>262</v>
      </c>
      <c r="AG11" s="139" t="s">
        <v>225</v>
      </c>
      <c r="AH11" s="140">
        <v>45292</v>
      </c>
      <c r="AI11" s="150" t="s">
        <v>240</v>
      </c>
      <c r="AJ11" s="139"/>
      <c r="AK11" s="152" t="s">
        <v>40</v>
      </c>
      <c r="AL11" s="157">
        <v>1</v>
      </c>
      <c r="AM11" s="156" t="s">
        <v>248</v>
      </c>
      <c r="AN11" s="156" t="s">
        <v>253</v>
      </c>
      <c r="AO11" s="157" t="s">
        <v>268</v>
      </c>
      <c r="AP11" s="155" t="s">
        <v>268</v>
      </c>
      <c r="AQ11" s="156" t="s">
        <v>269</v>
      </c>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row>
    <row r="12" spans="1:68" s="2" customFormat="1" ht="146.25" customHeight="1" x14ac:dyDescent="0.25">
      <c r="A12" s="245"/>
      <c r="B12" s="224"/>
      <c r="C12" s="224"/>
      <c r="D12" s="224"/>
      <c r="E12" s="248"/>
      <c r="F12" s="224"/>
      <c r="G12" s="230"/>
      <c r="H12" s="233"/>
      <c r="I12" s="236"/>
      <c r="J12" s="242"/>
      <c r="K12" s="236">
        <f ca="1">IF(NOT(ISERROR(MATCH(J12,_xlfn.ANCHORARRAY(E23),0))),I25&amp;"Por favor no seleccionar los criterios de impacto",J12)</f>
        <v>0</v>
      </c>
      <c r="L12" s="233"/>
      <c r="M12" s="236"/>
      <c r="N12" s="239"/>
      <c r="O12" s="6">
        <v>3</v>
      </c>
      <c r="P12" s="139" t="s">
        <v>241</v>
      </c>
      <c r="Q12" s="142" t="s">
        <v>4</v>
      </c>
      <c r="R12" s="143" t="s">
        <v>14</v>
      </c>
      <c r="S12" s="143" t="s">
        <v>9</v>
      </c>
      <c r="T12" s="144" t="str">
        <f t="shared" si="0"/>
        <v>40%</v>
      </c>
      <c r="U12" s="143" t="s">
        <v>19</v>
      </c>
      <c r="V12" s="143" t="s">
        <v>22</v>
      </c>
      <c r="W12" s="143" t="s">
        <v>118</v>
      </c>
      <c r="X12" s="145">
        <f>IFERROR(IF(AND(Q11="Probabilidad",Q12="Probabilidad"),(Z11-(+Z11*T12)),IF(AND(Q11="Impacto",Q12="Probabilidad"),(Z10-(+Z10*T12)),IF(Q12="Impacto",Z11,""))),"")</f>
        <v>8.6399999999999991E-2</v>
      </c>
      <c r="Y12" s="146" t="str">
        <f t="shared" si="1"/>
        <v>Muy Baja</v>
      </c>
      <c r="Z12" s="147">
        <f t="shared" si="2"/>
        <v>8.6399999999999991E-2</v>
      </c>
      <c r="AA12" s="146" t="str">
        <f t="shared" si="3"/>
        <v>Moderado</v>
      </c>
      <c r="AB12" s="147">
        <f>IFERROR(IF(AND(Q11="Impacto",Q12="Impacto"),(AB11-(+AB11*T12)),IF(AND(Q11="Probabilidad",Q12="Impacto"),(AB10-(+AB10*T12)),IF(Q12="Probabilidad",AB11,""))),"")</f>
        <v>0.6</v>
      </c>
      <c r="AC12" s="148" t="str">
        <f t="shared" si="4"/>
        <v>Moderado</v>
      </c>
      <c r="AD12" s="149" t="s">
        <v>135</v>
      </c>
      <c r="AE12" s="139" t="s">
        <v>238</v>
      </c>
      <c r="AF12" s="139" t="s">
        <v>263</v>
      </c>
      <c r="AG12" s="139" t="s">
        <v>225</v>
      </c>
      <c r="AH12" s="140">
        <v>45292</v>
      </c>
      <c r="AI12" s="150" t="s">
        <v>240</v>
      </c>
      <c r="AJ12" s="139"/>
      <c r="AK12" s="152" t="s">
        <v>40</v>
      </c>
      <c r="AL12" s="158">
        <v>1</v>
      </c>
      <c r="AM12" s="156" t="s">
        <v>249</v>
      </c>
      <c r="AN12" s="156" t="s">
        <v>254</v>
      </c>
      <c r="AO12" s="158">
        <v>1</v>
      </c>
      <c r="AP12" s="156" t="s">
        <v>249</v>
      </c>
      <c r="AQ12" s="156" t="s">
        <v>254</v>
      </c>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row>
    <row r="13" spans="1:68" ht="151.5" hidden="1" customHeight="1" x14ac:dyDescent="0.3">
      <c r="A13" s="245"/>
      <c r="B13" s="224"/>
      <c r="C13" s="224"/>
      <c r="D13" s="224"/>
      <c r="E13" s="248"/>
      <c r="F13" s="224"/>
      <c r="G13" s="230"/>
      <c r="H13" s="233"/>
      <c r="I13" s="236"/>
      <c r="J13" s="242"/>
      <c r="K13" s="236">
        <f ca="1">IF(NOT(ISERROR(MATCH(J13,_xlfn.ANCHORARRAY(E24),0))),I26&amp;"Por favor no seleccionar los criterios de impacto",J13)</f>
        <v>0</v>
      </c>
      <c r="L13" s="233"/>
      <c r="M13" s="236"/>
      <c r="N13" s="239"/>
      <c r="O13" s="6">
        <v>4</v>
      </c>
      <c r="P13" s="137"/>
      <c r="Q13" s="124" t="str">
        <f t="shared" ref="Q13:Q15" si="5">IF(OR(R13="Preventivo",R13="Detectivo"),"Probabilidad",IF(R13="Correctivo","Impacto",""))</f>
        <v/>
      </c>
      <c r="R13" s="125"/>
      <c r="S13" s="125"/>
      <c r="T13" s="126" t="str">
        <f t="shared" si="0"/>
        <v/>
      </c>
      <c r="U13" s="125"/>
      <c r="V13" s="125"/>
      <c r="W13" s="125"/>
      <c r="X13" s="127" t="str">
        <f t="shared" ref="X13:X15" si="6">IFERROR(IF(AND(Q12="Probabilidad",Q13="Probabilidad"),(Z12-(+Z12*T13)),IF(AND(Q12="Impacto",Q13="Probabilidad"),(Z11-(+Z11*T13)),IF(Q13="Impacto",Z12,""))),"")</f>
        <v/>
      </c>
      <c r="Y13" s="128" t="str">
        <f t="shared" si="1"/>
        <v/>
      </c>
      <c r="Z13" s="129" t="str">
        <f t="shared" si="2"/>
        <v/>
      </c>
      <c r="AA13" s="128" t="str">
        <f t="shared" si="3"/>
        <v/>
      </c>
      <c r="AB13" s="129" t="str">
        <f t="shared" ref="AB13:AB15" si="7">IFERROR(IF(AND(Q12="Impacto",Q13="Impacto"),(AB12-(+AB12*T13)),IF(AND(Q12="Probabilidad",Q13="Impacto"),(AB11-(+AB11*T13)),IF(Q13="Probabilidad",AB12,""))),"")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139"/>
      <c r="AF13" s="139"/>
      <c r="AG13" s="139"/>
      <c r="AH13" s="140"/>
      <c r="AI13" s="140"/>
      <c r="AJ13" s="139"/>
      <c r="AK13" s="152"/>
      <c r="AL13" s="155"/>
      <c r="AM13" s="156"/>
      <c r="AN13" s="156"/>
      <c r="AO13" s="155"/>
      <c r="AP13" s="156"/>
      <c r="AQ13" s="156"/>
      <c r="AR13" s="7"/>
      <c r="AS13" s="7"/>
      <c r="AT13" s="7"/>
      <c r="AU13" s="7"/>
      <c r="AV13" s="7"/>
      <c r="AW13" s="7"/>
      <c r="AX13" s="7"/>
      <c r="AY13" s="7"/>
      <c r="AZ13" s="7"/>
      <c r="BA13" s="7"/>
      <c r="BB13" s="7"/>
      <c r="BC13" s="7"/>
      <c r="BD13" s="7"/>
      <c r="BE13" s="7"/>
      <c r="BF13" s="7"/>
      <c r="BG13" s="7"/>
      <c r="BH13" s="7"/>
      <c r="BI13" s="7"/>
      <c r="BJ13" s="7"/>
      <c r="BK13" s="7"/>
      <c r="BL13" s="7"/>
      <c r="BM13" s="7"/>
      <c r="BN13" s="7"/>
      <c r="BO13" s="7"/>
      <c r="BP13" s="7"/>
    </row>
    <row r="14" spans="1:68" ht="151.5" hidden="1" customHeight="1" x14ac:dyDescent="0.3">
      <c r="A14" s="245"/>
      <c r="B14" s="224"/>
      <c r="C14" s="224"/>
      <c r="D14" s="224"/>
      <c r="E14" s="248"/>
      <c r="F14" s="224"/>
      <c r="G14" s="230"/>
      <c r="H14" s="233"/>
      <c r="I14" s="236"/>
      <c r="J14" s="242"/>
      <c r="K14" s="236">
        <f ca="1">IF(NOT(ISERROR(MATCH(J14,_xlfn.ANCHORARRAY(E25),0))),I27&amp;"Por favor no seleccionar los criterios de impacto",J14)</f>
        <v>0</v>
      </c>
      <c r="L14" s="233"/>
      <c r="M14" s="236"/>
      <c r="N14" s="239"/>
      <c r="O14" s="6">
        <v>5</v>
      </c>
      <c r="P14" s="137"/>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29" t="str">
        <f t="shared" si="7"/>
        <v/>
      </c>
      <c r="AC14" s="130" t="str">
        <f t="shared" si="4"/>
        <v/>
      </c>
      <c r="AD14" s="131"/>
      <c r="AE14" s="139"/>
      <c r="AF14" s="139"/>
      <c r="AG14" s="139"/>
      <c r="AH14" s="140"/>
      <c r="AI14" s="140"/>
      <c r="AJ14" s="139"/>
      <c r="AK14" s="152"/>
      <c r="AL14" s="155"/>
      <c r="AM14" s="156"/>
      <c r="AN14" s="156"/>
      <c r="AO14" s="155"/>
      <c r="AP14" s="156"/>
      <c r="AQ14" s="156"/>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1:68" ht="151.5" hidden="1" customHeight="1" x14ac:dyDescent="0.3">
      <c r="A15" s="246"/>
      <c r="B15" s="225"/>
      <c r="C15" s="225"/>
      <c r="D15" s="225"/>
      <c r="E15" s="249"/>
      <c r="F15" s="225"/>
      <c r="G15" s="231"/>
      <c r="H15" s="234"/>
      <c r="I15" s="237"/>
      <c r="J15" s="243"/>
      <c r="K15" s="237">
        <f ca="1">IF(NOT(ISERROR(MATCH(J15,_xlfn.ANCHORARRAY(E26),0))),I28&amp;"Por favor no seleccionar los criterios de impacto",J15)</f>
        <v>0</v>
      </c>
      <c r="L15" s="234"/>
      <c r="M15" s="237"/>
      <c r="N15" s="240"/>
      <c r="O15" s="6">
        <v>6</v>
      </c>
      <c r="P15" s="137"/>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31"/>
      <c r="AE15" s="139"/>
      <c r="AF15" s="139"/>
      <c r="AG15" s="139"/>
      <c r="AH15" s="140"/>
      <c r="AI15" s="140"/>
      <c r="AJ15" s="139"/>
      <c r="AK15" s="152"/>
      <c r="AL15" s="155"/>
      <c r="AM15" s="156"/>
      <c r="AN15" s="156"/>
      <c r="AO15" s="155"/>
      <c r="AP15" s="156"/>
      <c r="AQ15" s="156"/>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s="2" customFormat="1" ht="151.5" customHeight="1" x14ac:dyDescent="0.25">
      <c r="A16" s="244">
        <v>2</v>
      </c>
      <c r="B16" s="223" t="s">
        <v>131</v>
      </c>
      <c r="C16" s="223" t="s">
        <v>218</v>
      </c>
      <c r="D16" s="223" t="s">
        <v>235</v>
      </c>
      <c r="E16" s="247" t="s">
        <v>231</v>
      </c>
      <c r="F16" s="223" t="s">
        <v>122</v>
      </c>
      <c r="G16" s="229">
        <v>49</v>
      </c>
      <c r="H16" s="232" t="str">
        <f>IF(G16&lt;=0,"",IF(G16&lt;=2,"Muy Baja",IF(G16&lt;=24,"Baja",IF(G16&lt;=500,"Media",IF(G16&lt;=5000,"Alta","Muy Alta")))))</f>
        <v>Media</v>
      </c>
      <c r="I16" s="235">
        <f>IF(H16="","",IF(H16="Muy Baja",0.2,IF(H16="Baja",0.4,IF(H16="Media",0.6,IF(H16="Alta",0.8,IF(H16="Muy Alta",1,))))))</f>
        <v>0.6</v>
      </c>
      <c r="J16" s="241" t="s">
        <v>153</v>
      </c>
      <c r="K16" s="235"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32" t="str">
        <f>IF(OR(K16='Tabla Impacto'!$C$11,K16='Tabla Impacto'!$D$11),"Leve",IF(OR(K16='Tabla Impacto'!$C$12,K16='Tabla Impacto'!$D$12),"Menor",IF(OR(K16='Tabla Impacto'!$C$13,K16='Tabla Impacto'!$D$13),"Moderado",IF(OR(K16='Tabla Impacto'!$C$14,K16='Tabla Impacto'!$D$14),"Mayor",IF(OR(K16='Tabla Impacto'!$C$15,K16='Tabla Impacto'!$D$15),"Catastrófico","")))))</f>
        <v>Moderado</v>
      </c>
      <c r="M16" s="235">
        <f>IF(L16="","",IF(L16="Leve",0.2,IF(L16="Menor",0.4,IF(L16="Moderado",0.6,IF(L16="Mayor",0.8,IF(L16="Catastrófico",1,))))))</f>
        <v>0.6</v>
      </c>
      <c r="N16" s="23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6">
        <v>1</v>
      </c>
      <c r="P16" s="139" t="s">
        <v>221</v>
      </c>
      <c r="Q16" s="142" t="str">
        <f>IF(OR(R16="Preventivo",R16="Detectivo"),"Probabilidad",IF(R16="Correctivo","Impacto",""))</f>
        <v>Probabilidad</v>
      </c>
      <c r="R16" s="143" t="s">
        <v>14</v>
      </c>
      <c r="S16" s="143" t="s">
        <v>9</v>
      </c>
      <c r="T16" s="144" t="str">
        <f>IF(AND(R16="Preventivo",S16="Automático"),"50%",IF(AND(R16="Preventivo",S16="Manual"),"40%",IF(AND(R16="Detectivo",S16="Automático"),"40%",IF(AND(R16="Detectivo",S16="Manual"),"30%",IF(AND(R16="Correctivo",S16="Automático"),"35%",IF(AND(R16="Correctivo",S16="Manual"),"25%",""))))))</f>
        <v>40%</v>
      </c>
      <c r="U16" s="143" t="s">
        <v>19</v>
      </c>
      <c r="V16" s="143" t="s">
        <v>22</v>
      </c>
      <c r="W16" s="143" t="s">
        <v>118</v>
      </c>
      <c r="X16" s="145">
        <f>IFERROR(IF(Q16="Probabilidad",(I16-(+I16*T16)),IF(Q16="Impacto",I16,"")),"")</f>
        <v>0.36</v>
      </c>
      <c r="Y16" s="146" t="str">
        <f>IFERROR(IF(X16="","",IF(X16&lt;=0.2,"Muy Baja",IF(X16&lt;=0.4,"Baja",IF(X16&lt;=0.6,"Media",IF(X16&lt;=0.8,"Alta","Muy Alta"))))),"")</f>
        <v>Baja</v>
      </c>
      <c r="Z16" s="147">
        <f>+X16</f>
        <v>0.36</v>
      </c>
      <c r="AA16" s="146" t="str">
        <f>IFERROR(IF(AB16="","",IF(AB16&lt;=0.2,"Leve",IF(AB16&lt;=0.4,"Menor",IF(AB16&lt;=0.6,"Moderado",IF(AB16&lt;=0.8,"Mayor","Catastrófico"))))),"")</f>
        <v>Moderado</v>
      </c>
      <c r="AB16" s="147">
        <f>IFERROR(IF(Q16="Impacto",(M16-(+M16*T16)),IF(Q16="Probabilidad",M16,"")),"")</f>
        <v>0.6</v>
      </c>
      <c r="AC16" s="148"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49" t="s">
        <v>135</v>
      </c>
      <c r="AE16" s="139" t="s">
        <v>224</v>
      </c>
      <c r="AF16" s="139" t="s">
        <v>264</v>
      </c>
      <c r="AG16" s="139" t="s">
        <v>225</v>
      </c>
      <c r="AH16" s="140">
        <v>45292</v>
      </c>
      <c r="AI16" s="150" t="s">
        <v>240</v>
      </c>
      <c r="AJ16" s="139"/>
      <c r="AK16" s="152" t="s">
        <v>40</v>
      </c>
      <c r="AL16" s="158">
        <v>0</v>
      </c>
      <c r="AM16" s="156" t="s">
        <v>252</v>
      </c>
      <c r="AN16" s="156" t="s">
        <v>255</v>
      </c>
      <c r="AO16" s="158">
        <v>0</v>
      </c>
      <c r="AP16" s="156" t="s">
        <v>252</v>
      </c>
      <c r="AQ16" s="156" t="s">
        <v>256</v>
      </c>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row>
    <row r="17" spans="1:68" s="2" customFormat="1" ht="151.5" hidden="1" customHeight="1" x14ac:dyDescent="0.25">
      <c r="A17" s="245"/>
      <c r="B17" s="224"/>
      <c r="C17" s="224"/>
      <c r="D17" s="224"/>
      <c r="E17" s="248"/>
      <c r="F17" s="224"/>
      <c r="G17" s="230"/>
      <c r="H17" s="233"/>
      <c r="I17" s="236"/>
      <c r="J17" s="242"/>
      <c r="K17" s="236">
        <f ca="1">IF(NOT(ISERROR(MATCH(J17,_xlfn.ANCHORARRAY(E28),0))),I30&amp;"Por favor no seleccionar los criterios de impacto",J17)</f>
        <v>0</v>
      </c>
      <c r="L17" s="233"/>
      <c r="M17" s="236"/>
      <c r="N17" s="239"/>
      <c r="O17" s="6">
        <v>2</v>
      </c>
      <c r="P17" s="137"/>
      <c r="Q17" s="142" t="str">
        <f>IF(OR(R17="Preventivo",R17="Detectivo"),"Probabilidad",IF(R17="Correctivo","Impacto",""))</f>
        <v/>
      </c>
      <c r="R17" s="143"/>
      <c r="S17" s="143"/>
      <c r="T17" s="144" t="str">
        <f t="shared" ref="T17:T21" si="8">IF(AND(R17="Preventivo",S17="Automático"),"50%",IF(AND(R17="Preventivo",S17="Manual"),"40%",IF(AND(R17="Detectivo",S17="Automático"),"40%",IF(AND(R17="Detectivo",S17="Manual"),"30%",IF(AND(R17="Correctivo",S17="Automático"),"35%",IF(AND(R17="Correctivo",S17="Manual"),"25%",""))))))</f>
        <v/>
      </c>
      <c r="U17" s="143"/>
      <c r="V17" s="143"/>
      <c r="W17" s="143"/>
      <c r="X17" s="145" t="str">
        <f>IFERROR(IF(AND(Q16="Probabilidad",Q17="Probabilidad"),(Z16-(+Z16*T17)),IF(Q17="Probabilidad",(I16-(+I16*T17)),IF(Q17="Impacto",Z16,""))),"")</f>
        <v/>
      </c>
      <c r="Y17" s="146" t="str">
        <f t="shared" si="1"/>
        <v/>
      </c>
      <c r="Z17" s="147" t="str">
        <f t="shared" ref="Z17:Z21" si="9">+X17</f>
        <v/>
      </c>
      <c r="AA17" s="146" t="str">
        <f t="shared" si="3"/>
        <v/>
      </c>
      <c r="AB17" s="147" t="str">
        <f>IFERROR(IF(AND(Q16="Impacto",Q17="Impacto"),(AB16-(+AB16*T17)),IF(Q17="Impacto",(M16-(+M16*T17)),IF(Q17="Probabilidad",AB16,""))),"")</f>
        <v/>
      </c>
      <c r="AC17" s="148"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49"/>
      <c r="AE17" s="139"/>
      <c r="AF17" s="139"/>
      <c r="AG17" s="139" t="s">
        <v>212</v>
      </c>
      <c r="AH17" s="140"/>
      <c r="AI17" s="140"/>
      <c r="AJ17" s="139"/>
      <c r="AK17" s="152"/>
      <c r="AL17" s="158"/>
      <c r="AM17" s="156"/>
      <c r="AN17" s="156"/>
      <c r="AO17" s="158"/>
      <c r="AP17" s="156"/>
      <c r="AQ17" s="156"/>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row>
    <row r="18" spans="1:68" s="2" customFormat="1" ht="151.5" hidden="1" customHeight="1" x14ac:dyDescent="0.25">
      <c r="A18" s="245"/>
      <c r="B18" s="224"/>
      <c r="C18" s="224"/>
      <c r="D18" s="224"/>
      <c r="E18" s="248"/>
      <c r="F18" s="224"/>
      <c r="G18" s="230"/>
      <c r="H18" s="233"/>
      <c r="I18" s="236"/>
      <c r="J18" s="242"/>
      <c r="K18" s="236">
        <f ca="1">IF(NOT(ISERROR(MATCH(J18,_xlfn.ANCHORARRAY(E29),0))),I31&amp;"Por favor no seleccionar los criterios de impacto",J18)</f>
        <v>0</v>
      </c>
      <c r="L18" s="233"/>
      <c r="M18" s="236"/>
      <c r="N18" s="239"/>
      <c r="O18" s="6">
        <v>3</v>
      </c>
      <c r="P18" s="138"/>
      <c r="Q18" s="142" t="str">
        <f>IF(OR(R18="Preventivo",R18="Detectivo"),"Probabilidad",IF(R18="Correctivo","Impacto",""))</f>
        <v/>
      </c>
      <c r="R18" s="143"/>
      <c r="S18" s="143"/>
      <c r="T18" s="144" t="str">
        <f t="shared" si="8"/>
        <v/>
      </c>
      <c r="U18" s="143"/>
      <c r="V18" s="143"/>
      <c r="W18" s="143"/>
      <c r="X18" s="145" t="str">
        <f>IFERROR(IF(AND(Q17="Probabilidad",Q18="Probabilidad"),(Z17-(+Z17*T18)),IF(AND(Q17="Impacto",Q18="Probabilidad"),(Z16-(+Z16*T18)),IF(Q18="Impacto",Z17,""))),"")</f>
        <v/>
      </c>
      <c r="Y18" s="146" t="str">
        <f t="shared" si="1"/>
        <v/>
      </c>
      <c r="Z18" s="147" t="str">
        <f t="shared" si="9"/>
        <v/>
      </c>
      <c r="AA18" s="146" t="str">
        <f t="shared" si="3"/>
        <v/>
      </c>
      <c r="AB18" s="147" t="str">
        <f>IFERROR(IF(AND(Q17="Impacto",Q18="Impacto"),(AB17-(+AB17*T18)),IF(AND(Q17="Probabilidad",Q18="Impacto"),(AB16-(+AB16*T18)),IF(Q18="Probabilidad",AB17,""))),"")</f>
        <v/>
      </c>
      <c r="AC18" s="148" t="str">
        <f t="shared" si="10"/>
        <v/>
      </c>
      <c r="AD18" s="149"/>
      <c r="AE18" s="139"/>
      <c r="AF18" s="139"/>
      <c r="AG18" s="139" t="s">
        <v>212</v>
      </c>
      <c r="AH18" s="140"/>
      <c r="AI18" s="140"/>
      <c r="AJ18" s="139"/>
      <c r="AK18" s="152"/>
      <c r="AL18" s="158"/>
      <c r="AM18" s="156"/>
      <c r="AN18" s="156"/>
      <c r="AO18" s="158"/>
      <c r="AP18" s="156"/>
      <c r="AQ18" s="156"/>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row>
    <row r="19" spans="1:68" s="2" customFormat="1" ht="151.5" hidden="1" customHeight="1" x14ac:dyDescent="0.25">
      <c r="A19" s="245"/>
      <c r="B19" s="224"/>
      <c r="C19" s="224"/>
      <c r="D19" s="224"/>
      <c r="E19" s="248"/>
      <c r="F19" s="224"/>
      <c r="G19" s="230"/>
      <c r="H19" s="233"/>
      <c r="I19" s="236"/>
      <c r="J19" s="242"/>
      <c r="K19" s="236">
        <f ca="1">IF(NOT(ISERROR(MATCH(J19,_xlfn.ANCHORARRAY(E30),0))),I32&amp;"Por favor no seleccionar los criterios de impacto",J19)</f>
        <v>0</v>
      </c>
      <c r="L19" s="233"/>
      <c r="M19" s="236"/>
      <c r="N19" s="239"/>
      <c r="O19" s="6">
        <v>4</v>
      </c>
      <c r="P19" s="137"/>
      <c r="Q19" s="142" t="str">
        <f t="shared" ref="Q19:Q21" si="11">IF(OR(R19="Preventivo",R19="Detectivo"),"Probabilidad",IF(R19="Correctivo","Impacto",""))</f>
        <v/>
      </c>
      <c r="R19" s="143"/>
      <c r="S19" s="143"/>
      <c r="T19" s="144" t="str">
        <f t="shared" si="8"/>
        <v/>
      </c>
      <c r="U19" s="143"/>
      <c r="V19" s="143"/>
      <c r="W19" s="143"/>
      <c r="X19" s="145" t="str">
        <f t="shared" ref="X19:X21" si="12">IFERROR(IF(AND(Q18="Probabilidad",Q19="Probabilidad"),(Z18-(+Z18*T19)),IF(AND(Q18="Impacto",Q19="Probabilidad"),(Z17-(+Z17*T19)),IF(Q19="Impacto",Z18,""))),"")</f>
        <v/>
      </c>
      <c r="Y19" s="146" t="str">
        <f t="shared" si="1"/>
        <v/>
      </c>
      <c r="Z19" s="147" t="str">
        <f t="shared" si="9"/>
        <v/>
      </c>
      <c r="AA19" s="146" t="str">
        <f t="shared" si="3"/>
        <v/>
      </c>
      <c r="AB19" s="147" t="str">
        <f t="shared" ref="AB19:AB21" si="13">IFERROR(IF(AND(Q18="Impacto",Q19="Impacto"),(AB18-(+AB18*T19)),IF(AND(Q18="Probabilidad",Q19="Impacto"),(AB17-(+AB17*T19)),IF(Q19="Probabilidad",AB18,""))),"")</f>
        <v/>
      </c>
      <c r="AC19" s="148"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49"/>
      <c r="AE19" s="139"/>
      <c r="AF19" s="139"/>
      <c r="AG19" s="139" t="s">
        <v>212</v>
      </c>
      <c r="AH19" s="140"/>
      <c r="AI19" s="140"/>
      <c r="AJ19" s="139"/>
      <c r="AK19" s="152"/>
      <c r="AL19" s="158"/>
      <c r="AM19" s="156"/>
      <c r="AN19" s="156"/>
      <c r="AO19" s="158"/>
      <c r="AP19" s="156"/>
      <c r="AQ19" s="156"/>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row>
    <row r="20" spans="1:68" s="2" customFormat="1" ht="151.5" hidden="1" customHeight="1" x14ac:dyDescent="0.25">
      <c r="A20" s="245"/>
      <c r="B20" s="224"/>
      <c r="C20" s="224"/>
      <c r="D20" s="224"/>
      <c r="E20" s="248"/>
      <c r="F20" s="224"/>
      <c r="G20" s="230"/>
      <c r="H20" s="233"/>
      <c r="I20" s="236"/>
      <c r="J20" s="242"/>
      <c r="K20" s="236">
        <f ca="1">IF(NOT(ISERROR(MATCH(J20,_xlfn.ANCHORARRAY(E31),0))),I33&amp;"Por favor no seleccionar los criterios de impacto",J20)</f>
        <v>0</v>
      </c>
      <c r="L20" s="233"/>
      <c r="M20" s="236"/>
      <c r="N20" s="239"/>
      <c r="O20" s="6">
        <v>5</v>
      </c>
      <c r="P20" s="137"/>
      <c r="Q20" s="142" t="str">
        <f t="shared" si="11"/>
        <v/>
      </c>
      <c r="R20" s="143"/>
      <c r="S20" s="143"/>
      <c r="T20" s="144" t="str">
        <f t="shared" si="8"/>
        <v/>
      </c>
      <c r="U20" s="143"/>
      <c r="V20" s="143"/>
      <c r="W20" s="143"/>
      <c r="X20" s="145" t="str">
        <f t="shared" si="12"/>
        <v/>
      </c>
      <c r="Y20" s="146" t="str">
        <f t="shared" si="1"/>
        <v/>
      </c>
      <c r="Z20" s="147" t="str">
        <f t="shared" si="9"/>
        <v/>
      </c>
      <c r="AA20" s="146" t="str">
        <f t="shared" si="3"/>
        <v/>
      </c>
      <c r="AB20" s="147" t="str">
        <f t="shared" si="13"/>
        <v/>
      </c>
      <c r="AC20" s="148"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49"/>
      <c r="AE20" s="139"/>
      <c r="AF20" s="139"/>
      <c r="AG20" s="139" t="s">
        <v>212</v>
      </c>
      <c r="AH20" s="140"/>
      <c r="AI20" s="140"/>
      <c r="AJ20" s="139"/>
      <c r="AK20" s="152"/>
      <c r="AL20" s="158"/>
      <c r="AM20" s="156"/>
      <c r="AN20" s="156"/>
      <c r="AO20" s="158"/>
      <c r="AP20" s="156"/>
      <c r="AQ20" s="156"/>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row>
    <row r="21" spans="1:68" s="2" customFormat="1" ht="151.5" hidden="1" customHeight="1" x14ac:dyDescent="0.25">
      <c r="A21" s="246"/>
      <c r="B21" s="225"/>
      <c r="C21" s="225"/>
      <c r="D21" s="225"/>
      <c r="E21" s="249"/>
      <c r="F21" s="225"/>
      <c r="G21" s="231"/>
      <c r="H21" s="234"/>
      <c r="I21" s="237"/>
      <c r="J21" s="243"/>
      <c r="K21" s="237">
        <f ca="1">IF(NOT(ISERROR(MATCH(J21,_xlfn.ANCHORARRAY(E32),0))),I34&amp;"Por favor no seleccionar los criterios de impacto",J21)</f>
        <v>0</v>
      </c>
      <c r="L21" s="234"/>
      <c r="M21" s="237"/>
      <c r="N21" s="240"/>
      <c r="O21" s="6">
        <v>6</v>
      </c>
      <c r="P21" s="137"/>
      <c r="Q21" s="142" t="str">
        <f t="shared" si="11"/>
        <v/>
      </c>
      <c r="R21" s="143"/>
      <c r="S21" s="143"/>
      <c r="T21" s="144" t="str">
        <f t="shared" si="8"/>
        <v/>
      </c>
      <c r="U21" s="143"/>
      <c r="V21" s="143"/>
      <c r="W21" s="143"/>
      <c r="X21" s="145" t="str">
        <f t="shared" si="12"/>
        <v/>
      </c>
      <c r="Y21" s="146" t="str">
        <f t="shared" si="1"/>
        <v/>
      </c>
      <c r="Z21" s="147" t="str">
        <f t="shared" si="9"/>
        <v/>
      </c>
      <c r="AA21" s="146" t="str">
        <f t="shared" si="3"/>
        <v/>
      </c>
      <c r="AB21" s="147" t="str">
        <f t="shared" si="13"/>
        <v/>
      </c>
      <c r="AC21" s="148" t="str">
        <f t="shared" si="14"/>
        <v/>
      </c>
      <c r="AD21" s="149"/>
      <c r="AE21" s="139"/>
      <c r="AF21" s="139"/>
      <c r="AG21" s="139" t="s">
        <v>212</v>
      </c>
      <c r="AH21" s="140"/>
      <c r="AI21" s="140"/>
      <c r="AJ21" s="139"/>
      <c r="AK21" s="152"/>
      <c r="AL21" s="158"/>
      <c r="AM21" s="156"/>
      <c r="AN21" s="156"/>
      <c r="AO21" s="158"/>
      <c r="AP21" s="156"/>
      <c r="AQ21" s="156"/>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row>
    <row r="22" spans="1:68" s="2" customFormat="1" ht="102.75" customHeight="1" x14ac:dyDescent="0.25">
      <c r="A22" s="244">
        <v>3</v>
      </c>
      <c r="B22" s="223" t="s">
        <v>133</v>
      </c>
      <c r="C22" s="223" t="s">
        <v>219</v>
      </c>
      <c r="D22" s="223" t="s">
        <v>219</v>
      </c>
      <c r="E22" s="247" t="s">
        <v>232</v>
      </c>
      <c r="F22" s="223" t="s">
        <v>122</v>
      </c>
      <c r="G22" s="229">
        <v>12</v>
      </c>
      <c r="H22" s="232" t="str">
        <f>IF(G22&lt;=0,"",IF(G22&lt;=2,"Muy Baja",IF(G22&lt;=24,"Baja",IF(G22&lt;=500,"Media",IF(G22&lt;=5000,"Alta","Muy Alta")))))</f>
        <v>Baja</v>
      </c>
      <c r="I22" s="235">
        <f>IF(H22="","",IF(H22="Muy Baja",0.2,IF(H22="Baja",0.4,IF(H22="Media",0.6,IF(H22="Alta",0.8,IF(H22="Muy Alta",1,))))))</f>
        <v>0.4</v>
      </c>
      <c r="J22" s="241" t="s">
        <v>153</v>
      </c>
      <c r="K22" s="235"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32" t="str">
        <f>IF(OR(K22='Tabla Impacto'!$C$11,K22='Tabla Impacto'!$D$11),"Leve",IF(OR(K22='Tabla Impacto'!$C$12,K22='Tabla Impacto'!$D$12),"Menor",IF(OR(K22='Tabla Impacto'!$C$13,K22='Tabla Impacto'!$D$13),"Moderado",IF(OR(K22='Tabla Impacto'!$C$14,K22='Tabla Impacto'!$D$14),"Mayor",IF(OR(K22='Tabla Impacto'!$C$15,K22='Tabla Impacto'!$D$15),"Catastrófico","")))))</f>
        <v>Moderado</v>
      </c>
      <c r="M22" s="235">
        <f>IF(L22="","",IF(L22="Leve",0.2,IF(L22="Menor",0.4,IF(L22="Moderado",0.6,IF(L22="Mayor",0.8,IF(L22="Catastrófico",1,))))))</f>
        <v>0.6</v>
      </c>
      <c r="N22" s="238"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139" t="s">
        <v>222</v>
      </c>
      <c r="Q22" s="142" t="str">
        <f>IF(OR(R22="Preventivo",R22="Detectivo"),"Probabilidad",IF(R22="Correctivo","Impacto",""))</f>
        <v>Probabilidad</v>
      </c>
      <c r="R22" s="143" t="s">
        <v>15</v>
      </c>
      <c r="S22" s="143" t="s">
        <v>10</v>
      </c>
      <c r="T22" s="144" t="str">
        <f>IF(AND(R22="Preventivo",S22="Automático"),"50%",IF(AND(R22="Preventivo",S22="Manual"),"40%",IF(AND(R22="Detectivo",S22="Automático"),"40%",IF(AND(R22="Detectivo",S22="Manual"),"30%",IF(AND(R22="Correctivo",S22="Automático"),"35%",IF(AND(R22="Correctivo",S22="Manual"),"25%",""))))))</f>
        <v>40%</v>
      </c>
      <c r="U22" s="143" t="s">
        <v>19</v>
      </c>
      <c r="V22" s="143" t="s">
        <v>22</v>
      </c>
      <c r="W22" s="143" t="s">
        <v>118</v>
      </c>
      <c r="X22" s="145">
        <f>IFERROR(IF(Q22="Probabilidad",(I22-(+I22*T22)),IF(Q22="Impacto",I22,"")),"")</f>
        <v>0.24</v>
      </c>
      <c r="Y22" s="146" t="str">
        <f>IFERROR(IF(X22="","",IF(X22&lt;=0.2,"Muy Baja",IF(X22&lt;=0.4,"Baja",IF(X22&lt;=0.6,"Media",IF(X22&lt;=0.8,"Alta","Muy Alta"))))),"")</f>
        <v>Baja</v>
      </c>
      <c r="Z22" s="147">
        <f>+X22</f>
        <v>0.24</v>
      </c>
      <c r="AA22" s="146" t="str">
        <f>IFERROR(IF(AB22="","",IF(AB22&lt;=0.2,"Leve",IF(AB22&lt;=0.4,"Menor",IF(AB22&lt;=0.6,"Moderado",IF(AB22&lt;=0.8,"Mayor","Catastrófico"))))),"")</f>
        <v>Moderado</v>
      </c>
      <c r="AB22" s="147">
        <f>IFERROR(IF(Q22="Impacto",(M22-(+M22*T22)),IF(Q22="Probabilidad",M22,"")),"")</f>
        <v>0.6</v>
      </c>
      <c r="AC22" s="148"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49" t="s">
        <v>32</v>
      </c>
      <c r="AE22" s="139" t="s">
        <v>244</v>
      </c>
      <c r="AF22" s="139" t="s">
        <v>265</v>
      </c>
      <c r="AG22" s="139" t="s">
        <v>225</v>
      </c>
      <c r="AH22" s="140">
        <v>45292</v>
      </c>
      <c r="AI22" s="150" t="s">
        <v>240</v>
      </c>
      <c r="AJ22" s="139"/>
      <c r="AK22" s="152" t="s">
        <v>40</v>
      </c>
      <c r="AL22" s="158">
        <v>0</v>
      </c>
      <c r="AM22" s="156" t="s">
        <v>252</v>
      </c>
      <c r="AN22" s="156" t="s">
        <v>256</v>
      </c>
      <c r="AO22" s="158">
        <v>0</v>
      </c>
      <c r="AP22" s="156" t="s">
        <v>252</v>
      </c>
      <c r="AQ22" s="156" t="s">
        <v>256</v>
      </c>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row>
    <row r="23" spans="1:68" s="2" customFormat="1" ht="276" customHeight="1" x14ac:dyDescent="0.25">
      <c r="A23" s="245"/>
      <c r="B23" s="224"/>
      <c r="C23" s="224"/>
      <c r="D23" s="224"/>
      <c r="E23" s="248"/>
      <c r="F23" s="224"/>
      <c r="G23" s="230"/>
      <c r="H23" s="233"/>
      <c r="I23" s="236"/>
      <c r="J23" s="242"/>
      <c r="K23" s="236">
        <f t="shared" ref="K23:K27" ca="1" si="15">IF(NOT(ISERROR(MATCH(J23,_xlfn.ANCHORARRAY(E34),0))),I36&amp;"Por favor no seleccionar los criterios de impacto",J23)</f>
        <v>0</v>
      </c>
      <c r="L23" s="233"/>
      <c r="M23" s="236"/>
      <c r="N23" s="239"/>
      <c r="O23" s="6">
        <v>2</v>
      </c>
      <c r="P23" s="139" t="s">
        <v>243</v>
      </c>
      <c r="Q23" s="142" t="s">
        <v>4</v>
      </c>
      <c r="R23" s="143" t="s">
        <v>15</v>
      </c>
      <c r="S23" s="143" t="s">
        <v>9</v>
      </c>
      <c r="T23" s="144" t="str">
        <f t="shared" ref="T23:T27" si="16">IF(AND(R23="Preventivo",S23="Automático"),"50%",IF(AND(R23="Preventivo",S23="Manual"),"40%",IF(AND(R23="Detectivo",S23="Automático"),"40%",IF(AND(R23="Detectivo",S23="Manual"),"30%",IF(AND(R23="Correctivo",S23="Automático"),"35%",IF(AND(R23="Correctivo",S23="Manual"),"25%",""))))))</f>
        <v>30%</v>
      </c>
      <c r="U23" s="143" t="s">
        <v>19</v>
      </c>
      <c r="V23" s="143" t="s">
        <v>22</v>
      </c>
      <c r="W23" s="143" t="s">
        <v>118</v>
      </c>
      <c r="X23" s="151">
        <f>IFERROR(IF(AND(Q22="Probabilidad",Q23="Probabilidad"),(Z22-(+Z22*T23)),IF(Q23="Probabilidad",(I22-(+I22*T23)),IF(Q23="Impacto",Z22,""))),"")</f>
        <v>0.16799999999999998</v>
      </c>
      <c r="Y23" s="146" t="str">
        <f t="shared" si="1"/>
        <v>Muy Baja</v>
      </c>
      <c r="Z23" s="147">
        <f t="shared" ref="Z23:Z27" si="17">+X23</f>
        <v>0.16799999999999998</v>
      </c>
      <c r="AA23" s="146" t="str">
        <f t="shared" si="3"/>
        <v>Moderado</v>
      </c>
      <c r="AB23" s="147">
        <f>IFERROR(IF(AND(Q22="Impacto",Q23="Impacto"),(AB22-(+AB22*T23)),IF(Q23="Impacto",(M22-(+M22*T23)),IF(Q23="Probabilidad",AB22,""))),"")</f>
        <v>0.6</v>
      </c>
      <c r="AC23" s="148"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49" t="s">
        <v>135</v>
      </c>
      <c r="AE23" s="159" t="s">
        <v>242</v>
      </c>
      <c r="AF23" s="139" t="s">
        <v>266</v>
      </c>
      <c r="AG23" s="139" t="s">
        <v>225</v>
      </c>
      <c r="AH23" s="140">
        <v>45292</v>
      </c>
      <c r="AI23" s="150" t="s">
        <v>240</v>
      </c>
      <c r="AJ23" s="139"/>
      <c r="AK23" s="152" t="s">
        <v>40</v>
      </c>
      <c r="AL23" s="158">
        <v>0</v>
      </c>
      <c r="AM23" s="156" t="s">
        <v>252</v>
      </c>
      <c r="AN23" s="156" t="s">
        <v>257</v>
      </c>
      <c r="AO23" s="158">
        <v>0</v>
      </c>
      <c r="AP23" s="156" t="s">
        <v>252</v>
      </c>
      <c r="AQ23" s="156" t="s">
        <v>270</v>
      </c>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row>
    <row r="24" spans="1:68" ht="151.5" hidden="1" customHeight="1" x14ac:dyDescent="0.3">
      <c r="A24" s="245"/>
      <c r="B24" s="224"/>
      <c r="C24" s="224"/>
      <c r="D24" s="224"/>
      <c r="E24" s="248"/>
      <c r="F24" s="224"/>
      <c r="G24" s="230"/>
      <c r="H24" s="233"/>
      <c r="I24" s="236"/>
      <c r="J24" s="242"/>
      <c r="K24" s="236">
        <f t="shared" ca="1" si="15"/>
        <v>0</v>
      </c>
      <c r="L24" s="233"/>
      <c r="M24" s="236"/>
      <c r="N24" s="239"/>
      <c r="O24" s="6">
        <v>3</v>
      </c>
      <c r="P24" s="135"/>
      <c r="Q24" s="124" t="str">
        <f>IF(OR(R24="Preventivo",R24="Detectivo"),"Probabilidad",IF(R24="Correctivo","Impacto",""))</f>
        <v/>
      </c>
      <c r="R24" s="125"/>
      <c r="S24" s="125"/>
      <c r="T24" s="126" t="str">
        <f t="shared" si="16"/>
        <v/>
      </c>
      <c r="U24" s="125"/>
      <c r="V24" s="125"/>
      <c r="W24" s="125"/>
      <c r="X24" s="127" t="str">
        <f>IFERROR(IF(AND(Q23="Probabilidad",Q24="Probabilidad"),(Z23-(+Z23*T24)),IF(AND(Q23="Impacto",Q24="Probabilidad"),(Z22-(+Z22*T24)),IF(Q24="Impacto",Z23,""))),"")</f>
        <v/>
      </c>
      <c r="Y24" s="128" t="str">
        <f t="shared" si="1"/>
        <v/>
      </c>
      <c r="Z24" s="129" t="str">
        <f t="shared" si="17"/>
        <v/>
      </c>
      <c r="AA24" s="128" t="str">
        <f t="shared" si="3"/>
        <v/>
      </c>
      <c r="AB24" s="129" t="str">
        <f>IFERROR(IF(AND(Q23="Impacto",Q24="Impacto"),(AB23-(+AB23*T24)),IF(AND(Q23="Probabilidad",Q24="Impacto"),(AB22-(+AB22*T24)),IF(Q24="Probabilidad",AB23,""))),"")</f>
        <v/>
      </c>
      <c r="AC24" s="130" t="str">
        <f t="shared" si="18"/>
        <v/>
      </c>
      <c r="AD24" s="131"/>
      <c r="AE24" s="132"/>
      <c r="AF24" s="132"/>
      <c r="AG24" s="132" t="s">
        <v>212</v>
      </c>
      <c r="AH24" s="134" t="s">
        <v>213</v>
      </c>
      <c r="AI24" s="134"/>
      <c r="AJ24" s="132"/>
      <c r="AK24" s="153"/>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row>
    <row r="25" spans="1:68" ht="151.5" hidden="1" customHeight="1" x14ac:dyDescent="0.3">
      <c r="A25" s="245"/>
      <c r="B25" s="224"/>
      <c r="C25" s="224"/>
      <c r="D25" s="224"/>
      <c r="E25" s="248"/>
      <c r="F25" s="224"/>
      <c r="G25" s="230"/>
      <c r="H25" s="233"/>
      <c r="I25" s="236"/>
      <c r="J25" s="242"/>
      <c r="K25" s="236">
        <f t="shared" ca="1" si="15"/>
        <v>0</v>
      </c>
      <c r="L25" s="233"/>
      <c r="M25" s="236"/>
      <c r="N25" s="239"/>
      <c r="O25" s="6">
        <v>4</v>
      </c>
      <c r="P25" s="123"/>
      <c r="Q25" s="124" t="str">
        <f t="shared" ref="Q25:Q27" si="19">IF(OR(R25="Preventivo",R25="Detectivo"),"Probabilidad",IF(R25="Correctivo","Impacto",""))</f>
        <v/>
      </c>
      <c r="R25" s="125"/>
      <c r="S25" s="125"/>
      <c r="T25" s="126" t="str">
        <f t="shared" si="16"/>
        <v/>
      </c>
      <c r="U25" s="125"/>
      <c r="V25" s="125"/>
      <c r="W25" s="125"/>
      <c r="X25" s="127" t="str">
        <f t="shared" ref="X25:X27" si="20">IFERROR(IF(AND(Q24="Probabilidad",Q25="Probabilidad"),(Z24-(+Z24*T25)),IF(AND(Q24="Impacto",Q25="Probabilidad"),(Z23-(+Z23*T25)),IF(Q25="Impacto",Z24,""))),"")</f>
        <v/>
      </c>
      <c r="Y25" s="128" t="str">
        <f t="shared" si="1"/>
        <v/>
      </c>
      <c r="Z25" s="129" t="str">
        <f t="shared" si="17"/>
        <v/>
      </c>
      <c r="AA25" s="128" t="str">
        <f t="shared" si="3"/>
        <v/>
      </c>
      <c r="AB25" s="129" t="str">
        <f t="shared" ref="AB25:AB27" si="21">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32"/>
      <c r="AF25" s="132"/>
      <c r="AG25" s="132" t="s">
        <v>212</v>
      </c>
      <c r="AH25" s="134" t="s">
        <v>213</v>
      </c>
      <c r="AI25" s="134"/>
      <c r="AJ25" s="132"/>
      <c r="AK25" s="153"/>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row>
    <row r="26" spans="1:68" ht="151.5" hidden="1" customHeight="1" x14ac:dyDescent="0.3">
      <c r="A26" s="245"/>
      <c r="B26" s="224"/>
      <c r="C26" s="224"/>
      <c r="D26" s="224"/>
      <c r="E26" s="248"/>
      <c r="F26" s="224"/>
      <c r="G26" s="230"/>
      <c r="H26" s="233"/>
      <c r="I26" s="236"/>
      <c r="J26" s="242"/>
      <c r="K26" s="236">
        <f t="shared" ca="1" si="15"/>
        <v>0</v>
      </c>
      <c r="L26" s="233"/>
      <c r="M26" s="236"/>
      <c r="N26" s="239"/>
      <c r="O26" s="6">
        <v>5</v>
      </c>
      <c r="P26" s="123"/>
      <c r="Q26" s="124" t="str">
        <f t="shared" si="19"/>
        <v/>
      </c>
      <c r="R26" s="125"/>
      <c r="S26" s="125"/>
      <c r="T26" s="126" t="str">
        <f t="shared" si="16"/>
        <v/>
      </c>
      <c r="U26" s="125"/>
      <c r="V26" s="125"/>
      <c r="W26" s="125"/>
      <c r="X26" s="127" t="str">
        <f t="shared" si="20"/>
        <v/>
      </c>
      <c r="Y26" s="128" t="str">
        <f t="shared" si="1"/>
        <v/>
      </c>
      <c r="Z26" s="129" t="str">
        <f t="shared" si="17"/>
        <v/>
      </c>
      <c r="AA26" s="128" t="str">
        <f t="shared" si="3"/>
        <v/>
      </c>
      <c r="AB26" s="129" t="str">
        <f t="shared" si="21"/>
        <v/>
      </c>
      <c r="AC26" s="130"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32"/>
      <c r="AF26" s="132"/>
      <c r="AG26" s="132" t="s">
        <v>212</v>
      </c>
      <c r="AH26" s="134" t="s">
        <v>213</v>
      </c>
      <c r="AI26" s="134"/>
      <c r="AJ26" s="132"/>
      <c r="AK26" s="153"/>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row>
    <row r="27" spans="1:68" ht="151.5" hidden="1" customHeight="1" x14ac:dyDescent="0.3">
      <c r="A27" s="246"/>
      <c r="B27" s="225"/>
      <c r="C27" s="225"/>
      <c r="D27" s="225"/>
      <c r="E27" s="249"/>
      <c r="F27" s="225"/>
      <c r="G27" s="231"/>
      <c r="H27" s="234"/>
      <c r="I27" s="237"/>
      <c r="J27" s="243"/>
      <c r="K27" s="237">
        <f t="shared" ca="1" si="15"/>
        <v>0</v>
      </c>
      <c r="L27" s="234"/>
      <c r="M27" s="237"/>
      <c r="N27" s="240"/>
      <c r="O27" s="6">
        <v>6</v>
      </c>
      <c r="P27" s="123"/>
      <c r="Q27" s="124" t="str">
        <f t="shared" si="19"/>
        <v/>
      </c>
      <c r="R27" s="125"/>
      <c r="S27" s="125"/>
      <c r="T27" s="126" t="str">
        <f t="shared" si="16"/>
        <v/>
      </c>
      <c r="U27" s="125"/>
      <c r="V27" s="125"/>
      <c r="W27" s="125"/>
      <c r="X27" s="127" t="str">
        <f t="shared" si="20"/>
        <v/>
      </c>
      <c r="Y27" s="128" t="str">
        <f t="shared" si="1"/>
        <v/>
      </c>
      <c r="Z27" s="129" t="str">
        <f t="shared" si="17"/>
        <v/>
      </c>
      <c r="AA27" s="128" t="str">
        <f t="shared" si="3"/>
        <v/>
      </c>
      <c r="AB27" s="129" t="str">
        <f t="shared" si="21"/>
        <v/>
      </c>
      <c r="AC27" s="130" t="str">
        <f t="shared" si="22"/>
        <v/>
      </c>
      <c r="AD27" s="131"/>
      <c r="AE27" s="132"/>
      <c r="AF27" s="132"/>
      <c r="AG27" s="132" t="s">
        <v>212</v>
      </c>
      <c r="AH27" s="134" t="s">
        <v>213</v>
      </c>
      <c r="AI27" s="134"/>
      <c r="AJ27" s="132"/>
      <c r="AK27" s="153"/>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ht="151.5" hidden="1" customHeight="1" x14ac:dyDescent="0.3">
      <c r="A28" s="220">
        <v>4</v>
      </c>
      <c r="B28" s="214"/>
      <c r="C28" s="214"/>
      <c r="D28" s="223"/>
      <c r="E28" s="226"/>
      <c r="F28" s="214"/>
      <c r="G28" s="217"/>
      <c r="H28" s="211"/>
      <c r="I28" s="202"/>
      <c r="J28" s="208"/>
      <c r="K28" s="202"/>
      <c r="L28" s="211"/>
      <c r="M28" s="202"/>
      <c r="N28" s="205"/>
      <c r="O28" s="122"/>
      <c r="P28" s="123"/>
      <c r="Q28" s="124"/>
      <c r="R28" s="125"/>
      <c r="S28" s="125"/>
      <c r="T28" s="126"/>
      <c r="U28" s="125"/>
      <c r="V28" s="125"/>
      <c r="W28" s="125"/>
      <c r="X28" s="127"/>
      <c r="Y28" s="128"/>
      <c r="Z28" s="129"/>
      <c r="AA28" s="128"/>
      <c r="AB28" s="129"/>
      <c r="AC28" s="130"/>
      <c r="AD28" s="131"/>
      <c r="AE28" s="132"/>
      <c r="AF28" s="132"/>
      <c r="AG28" s="132"/>
      <c r="AH28" s="134"/>
      <c r="AI28" s="134"/>
      <c r="AJ28" s="132"/>
      <c r="AK28" s="153"/>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ht="151.5" hidden="1" customHeight="1" x14ac:dyDescent="0.3">
      <c r="A29" s="221"/>
      <c r="B29" s="215"/>
      <c r="C29" s="215"/>
      <c r="D29" s="224"/>
      <c r="E29" s="227"/>
      <c r="F29" s="215"/>
      <c r="G29" s="218"/>
      <c r="H29" s="212"/>
      <c r="I29" s="203"/>
      <c r="J29" s="209"/>
      <c r="K29" s="203"/>
      <c r="L29" s="212"/>
      <c r="M29" s="203"/>
      <c r="N29" s="206"/>
      <c r="O29" s="122"/>
      <c r="P29" s="123"/>
      <c r="Q29" s="124"/>
      <c r="R29" s="125"/>
      <c r="S29" s="125"/>
      <c r="T29" s="126"/>
      <c r="U29" s="125"/>
      <c r="V29" s="125"/>
      <c r="W29" s="125"/>
      <c r="X29" s="127"/>
      <c r="Y29" s="128"/>
      <c r="Z29" s="129"/>
      <c r="AA29" s="128"/>
      <c r="AB29" s="129"/>
      <c r="AC29" s="130"/>
      <c r="AD29" s="131"/>
      <c r="AE29" s="132"/>
      <c r="AF29" s="132"/>
      <c r="AG29" s="133"/>
      <c r="AH29" s="134"/>
      <c r="AI29" s="134"/>
      <c r="AJ29" s="132"/>
      <c r="AK29" s="153"/>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ht="151.5" hidden="1" customHeight="1" x14ac:dyDescent="0.3">
      <c r="A30" s="221"/>
      <c r="B30" s="215"/>
      <c r="C30" s="215"/>
      <c r="D30" s="224"/>
      <c r="E30" s="227"/>
      <c r="F30" s="215"/>
      <c r="G30" s="218"/>
      <c r="H30" s="212"/>
      <c r="I30" s="203"/>
      <c r="J30" s="209"/>
      <c r="K30" s="203"/>
      <c r="L30" s="212"/>
      <c r="M30" s="203"/>
      <c r="N30" s="206"/>
      <c r="O30" s="122"/>
      <c r="P30" s="135"/>
      <c r="Q30" s="124"/>
      <c r="R30" s="125"/>
      <c r="S30" s="125"/>
      <c r="T30" s="126"/>
      <c r="U30" s="125"/>
      <c r="V30" s="125"/>
      <c r="W30" s="125"/>
      <c r="X30" s="127"/>
      <c r="Y30" s="128"/>
      <c r="Z30" s="129"/>
      <c r="AA30" s="128"/>
      <c r="AB30" s="129"/>
      <c r="AC30" s="130"/>
      <c r="AD30" s="131"/>
      <c r="AE30" s="132"/>
      <c r="AF30" s="132"/>
      <c r="AG30" s="133"/>
      <c r="AH30" s="134"/>
      <c r="AI30" s="134"/>
      <c r="AJ30" s="132"/>
      <c r="AK30" s="153"/>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ht="151.5" hidden="1" customHeight="1" x14ac:dyDescent="0.3">
      <c r="A31" s="221"/>
      <c r="B31" s="215"/>
      <c r="C31" s="215"/>
      <c r="D31" s="224"/>
      <c r="E31" s="227"/>
      <c r="F31" s="215"/>
      <c r="G31" s="218"/>
      <c r="H31" s="212"/>
      <c r="I31" s="203"/>
      <c r="J31" s="209"/>
      <c r="K31" s="203"/>
      <c r="L31" s="212"/>
      <c r="M31" s="203"/>
      <c r="N31" s="206"/>
      <c r="O31" s="122"/>
      <c r="P31" s="123"/>
      <c r="Q31" s="124"/>
      <c r="R31" s="125"/>
      <c r="S31" s="125"/>
      <c r="T31" s="126"/>
      <c r="U31" s="125"/>
      <c r="V31" s="125"/>
      <c r="W31" s="125"/>
      <c r="X31" s="127"/>
      <c r="Y31" s="128"/>
      <c r="Z31" s="129"/>
      <c r="AA31" s="128"/>
      <c r="AB31" s="129"/>
      <c r="AC31" s="130"/>
      <c r="AD31" s="131"/>
      <c r="AE31" s="132"/>
      <c r="AF31" s="132"/>
      <c r="AG31" s="133"/>
      <c r="AH31" s="134"/>
      <c r="AI31" s="134"/>
      <c r="AJ31" s="132"/>
      <c r="AK31" s="153"/>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68" ht="151.5" hidden="1" customHeight="1" x14ac:dyDescent="0.3">
      <c r="A32" s="221"/>
      <c r="B32" s="215"/>
      <c r="C32" s="215"/>
      <c r="D32" s="224"/>
      <c r="E32" s="227"/>
      <c r="F32" s="215"/>
      <c r="G32" s="218"/>
      <c r="H32" s="212"/>
      <c r="I32" s="203"/>
      <c r="J32" s="209"/>
      <c r="K32" s="203"/>
      <c r="L32" s="212"/>
      <c r="M32" s="203"/>
      <c r="N32" s="206"/>
      <c r="O32" s="122"/>
      <c r="P32" s="123"/>
      <c r="Q32" s="124"/>
      <c r="R32" s="125"/>
      <c r="S32" s="125"/>
      <c r="T32" s="126"/>
      <c r="U32" s="125"/>
      <c r="V32" s="125"/>
      <c r="W32" s="125"/>
      <c r="X32" s="136"/>
      <c r="Y32" s="128"/>
      <c r="Z32" s="129"/>
      <c r="AA32" s="128"/>
      <c r="AB32" s="129"/>
      <c r="AC32" s="130"/>
      <c r="AD32" s="131"/>
      <c r="AE32" s="132"/>
      <c r="AF32" s="132"/>
      <c r="AG32" s="133"/>
      <c r="AH32" s="134"/>
      <c r="AI32" s="134"/>
      <c r="AJ32" s="132"/>
      <c r="AK32" s="153"/>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row>
    <row r="33" spans="1:68" ht="151.5" hidden="1" customHeight="1" x14ac:dyDescent="0.3">
      <c r="A33" s="222"/>
      <c r="B33" s="216"/>
      <c r="C33" s="216"/>
      <c r="D33" s="225"/>
      <c r="E33" s="228"/>
      <c r="F33" s="216"/>
      <c r="G33" s="219"/>
      <c r="H33" s="213"/>
      <c r="I33" s="204"/>
      <c r="J33" s="210"/>
      <c r="K33" s="204"/>
      <c r="L33" s="213"/>
      <c r="M33" s="204"/>
      <c r="N33" s="207"/>
      <c r="O33" s="122"/>
      <c r="P33" s="123"/>
      <c r="Q33" s="124"/>
      <c r="R33" s="125"/>
      <c r="S33" s="125"/>
      <c r="T33" s="126"/>
      <c r="U33" s="125"/>
      <c r="V33" s="125"/>
      <c r="W33" s="125"/>
      <c r="X33" s="127"/>
      <c r="Y33" s="128"/>
      <c r="Z33" s="129"/>
      <c r="AA33" s="128"/>
      <c r="AB33" s="129"/>
      <c r="AC33" s="130"/>
      <c r="AD33" s="131"/>
      <c r="AE33" s="132"/>
      <c r="AF33" s="132"/>
      <c r="AG33" s="133"/>
      <c r="AH33" s="134"/>
      <c r="AI33" s="134"/>
      <c r="AJ33" s="132"/>
      <c r="AK33" s="153"/>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row>
    <row r="34" spans="1:68" ht="151.5" hidden="1" customHeight="1" x14ac:dyDescent="0.3">
      <c r="A34" s="220">
        <v>5</v>
      </c>
      <c r="B34" s="214"/>
      <c r="C34" s="214"/>
      <c r="D34" s="223"/>
      <c r="E34" s="226"/>
      <c r="F34" s="214"/>
      <c r="G34" s="217"/>
      <c r="H34" s="211" t="str">
        <f>IF(G34&lt;=0,"",IF(G34&lt;=2,"Muy Baja",IF(G34&lt;=24,"Baja",IF(G34&lt;=500,"Media",IF(G34&lt;=5000,"Alta","Muy Alta")))))</f>
        <v/>
      </c>
      <c r="I34" s="202" t="str">
        <f>IF(H34="","",IF(H34="Muy Baja",0.2,IF(H34="Baja",0.4,IF(H34="Media",0.6,IF(H34="Alta",0.8,IF(H34="Muy Alta",1,))))))</f>
        <v/>
      </c>
      <c r="J34" s="208"/>
      <c r="K34" s="202">
        <f>IF(NOT(ISERROR(MATCH(J34,'Tabla Impacto'!$B$221:$B$223,0))),'Tabla Impacto'!$F$223&amp;"Por favor no seleccionar los criterios de impacto(Afectación Económica o presupuestal y Pérdida Reputacional)",J34)</f>
        <v>0</v>
      </c>
      <c r="L34" s="211" t="str">
        <f>IF(OR(K34='Tabla Impacto'!$C$11,K34='Tabla Impacto'!$D$11),"Leve",IF(OR(K34='Tabla Impacto'!$C$12,K34='Tabla Impacto'!$D$12),"Menor",IF(OR(K34='Tabla Impacto'!$C$13,K34='Tabla Impacto'!$D$13),"Moderado",IF(OR(K34='Tabla Impacto'!$C$14,K34='Tabla Impacto'!$D$14),"Mayor",IF(OR(K34='Tabla Impacto'!$C$15,K34='Tabla Impacto'!$D$15),"Catastrófico","")))))</f>
        <v/>
      </c>
      <c r="M34" s="202" t="str">
        <f>IF(L34="","",IF(L34="Leve",0.2,IF(L34="Menor",0.4,IF(L34="Moderado",0.6,IF(L34="Mayor",0.8,IF(L34="Catastrófico",1,))))))</f>
        <v/>
      </c>
      <c r="N34" s="20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2">
        <v>1</v>
      </c>
      <c r="P34" s="123"/>
      <c r="Q34" s="124" t="str">
        <f>IF(OR(R34="Preventivo",R34="Detectivo"),"Probabilidad",IF(R34="Correctivo","Impacto",""))</f>
        <v/>
      </c>
      <c r="R34" s="125"/>
      <c r="S34" s="125"/>
      <c r="T34" s="126" t="str">
        <f>IF(AND(R34="Preventivo",S34="Automático"),"50%",IF(AND(R34="Preventivo",S34="Manual"),"40%",IF(AND(R34="Detectivo",S34="Automático"),"40%",IF(AND(R34="Detectivo",S34="Manual"),"30%",IF(AND(R34="Correctivo",S34="Automático"),"35%",IF(AND(R34="Correctivo",S34="Manual"),"25%",""))))))</f>
        <v/>
      </c>
      <c r="U34" s="125"/>
      <c r="V34" s="125"/>
      <c r="W34" s="125"/>
      <c r="X34" s="127" t="str">
        <f>IFERROR(IF(Q34="Probabilidad",(I34-(+I34*T34)),IF(Q34="Impacto",I34,"")),"")</f>
        <v/>
      </c>
      <c r="Y34" s="128" t="str">
        <f>IFERROR(IF(X34="","",IF(X34&lt;=0.2,"Muy Baja",IF(X34&lt;=0.4,"Baja",IF(X34&lt;=0.6,"Media",IF(X34&lt;=0.8,"Alta","Muy Alta"))))),"")</f>
        <v/>
      </c>
      <c r="Z34" s="129" t="str">
        <f>+X34</f>
        <v/>
      </c>
      <c r="AA34" s="128" t="str">
        <f>IFERROR(IF(AB34="","",IF(AB34&lt;=0.2,"Leve",IF(AB34&lt;=0.4,"Menor",IF(AB34&lt;=0.6,"Moderado",IF(AB34&lt;=0.8,"Mayor","Catastrófico"))))),"")</f>
        <v/>
      </c>
      <c r="AB34" s="129" t="str">
        <f>IFERROR(IF(Q34="Impacto",(M34-(+M34*T34)),IF(Q34="Probabilidad",M34,"")),"")</f>
        <v/>
      </c>
      <c r="AC34" s="130"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1"/>
      <c r="AE34" s="132"/>
      <c r="AF34" s="132"/>
      <c r="AG34" s="133"/>
      <c r="AH34" s="134"/>
      <c r="AI34" s="134"/>
      <c r="AJ34" s="132"/>
      <c r="AK34" s="153"/>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row>
    <row r="35" spans="1:68" ht="151.5" hidden="1" customHeight="1" x14ac:dyDescent="0.3">
      <c r="A35" s="221"/>
      <c r="B35" s="215"/>
      <c r="C35" s="215"/>
      <c r="D35" s="224"/>
      <c r="E35" s="227"/>
      <c r="F35" s="215"/>
      <c r="G35" s="218"/>
      <c r="H35" s="212"/>
      <c r="I35" s="203"/>
      <c r="J35" s="209"/>
      <c r="K35" s="203">
        <f t="shared" ref="K35:K39" ca="1" si="23">IF(NOT(ISERROR(MATCH(J35,_xlfn.ANCHORARRAY(E46),0))),I48&amp;"Por favor no seleccionar los criterios de impacto",J35)</f>
        <v>0</v>
      </c>
      <c r="L35" s="212"/>
      <c r="M35" s="203"/>
      <c r="N35" s="206"/>
      <c r="O35" s="122">
        <v>2</v>
      </c>
      <c r="P35" s="123"/>
      <c r="Q35" s="124" t="str">
        <f>IF(OR(R35="Preventivo",R35="Detectivo"),"Probabilidad",IF(R35="Correctivo","Impacto",""))</f>
        <v/>
      </c>
      <c r="R35" s="125"/>
      <c r="S35" s="125"/>
      <c r="T35" s="126" t="str">
        <f t="shared" ref="T35:T39" si="24">IF(AND(R35="Preventivo",S35="Automático"),"50%",IF(AND(R35="Preventivo",S35="Manual"),"40%",IF(AND(R35="Detectivo",S35="Automático"),"40%",IF(AND(R35="Detectivo",S35="Manual"),"30%",IF(AND(R35="Correctivo",S35="Automático"),"35%",IF(AND(R35="Correctivo",S35="Manual"),"25%",""))))))</f>
        <v/>
      </c>
      <c r="U35" s="125"/>
      <c r="V35" s="125"/>
      <c r="W35" s="125"/>
      <c r="X35" s="127" t="str">
        <f>IFERROR(IF(AND(Q34="Probabilidad",Q35="Probabilidad"),(Z34-(+Z34*T35)),IF(Q35="Probabilidad",(I34-(+I34*T35)),IF(Q35="Impacto",Z34,""))),"")</f>
        <v/>
      </c>
      <c r="Y35" s="128" t="str">
        <f t="shared" si="1"/>
        <v/>
      </c>
      <c r="Z35" s="129" t="str">
        <f t="shared" ref="Z35:Z39" si="25">+X35</f>
        <v/>
      </c>
      <c r="AA35" s="128" t="str">
        <f t="shared" si="3"/>
        <v/>
      </c>
      <c r="AB35" s="129" t="str">
        <f>IFERROR(IF(AND(Q34="Impacto",Q35="Impacto"),(AB34-(+AB34*T35)),IF(Q35="Impacto",(M34-(+M34*T35)),IF(Q35="Probabilidad",AB34,""))),"")</f>
        <v/>
      </c>
      <c r="AC35" s="130" t="str">
        <f t="shared" ref="AC35:AC36" si="26">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32"/>
      <c r="AF35" s="132"/>
      <c r="AG35" s="133"/>
      <c r="AH35" s="134"/>
      <c r="AI35" s="134"/>
      <c r="AJ35" s="132"/>
      <c r="AK35" s="153"/>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row>
    <row r="36" spans="1:68" ht="151.5" hidden="1" customHeight="1" x14ac:dyDescent="0.3">
      <c r="A36" s="221"/>
      <c r="B36" s="215"/>
      <c r="C36" s="215"/>
      <c r="D36" s="224"/>
      <c r="E36" s="227"/>
      <c r="F36" s="215"/>
      <c r="G36" s="218"/>
      <c r="H36" s="212"/>
      <c r="I36" s="203"/>
      <c r="J36" s="209"/>
      <c r="K36" s="203">
        <f t="shared" ca="1" si="23"/>
        <v>0</v>
      </c>
      <c r="L36" s="212"/>
      <c r="M36" s="203"/>
      <c r="N36" s="206"/>
      <c r="O36" s="122">
        <v>3</v>
      </c>
      <c r="P36" s="135"/>
      <c r="Q36" s="124" t="str">
        <f>IF(OR(R36="Preventivo",R36="Detectivo"),"Probabilidad",IF(R36="Correctivo","Impacto",""))</f>
        <v/>
      </c>
      <c r="R36" s="125"/>
      <c r="S36" s="125"/>
      <c r="T36" s="126" t="str">
        <f t="shared" si="24"/>
        <v/>
      </c>
      <c r="U36" s="125"/>
      <c r="V36" s="125"/>
      <c r="W36" s="125"/>
      <c r="X36" s="127" t="str">
        <f>IFERROR(IF(AND(Q35="Probabilidad",Q36="Probabilidad"),(Z35-(+Z35*T36)),IF(AND(Q35="Impacto",Q36="Probabilidad"),(Z34-(+Z34*T36)),IF(Q36="Impacto",Z35,""))),"")</f>
        <v/>
      </c>
      <c r="Y36" s="128" t="str">
        <f t="shared" si="1"/>
        <v/>
      </c>
      <c r="Z36" s="129" t="str">
        <f t="shared" si="25"/>
        <v/>
      </c>
      <c r="AA36" s="128" t="str">
        <f t="shared" si="3"/>
        <v/>
      </c>
      <c r="AB36" s="129" t="str">
        <f>IFERROR(IF(AND(Q35="Impacto",Q36="Impacto"),(AB35-(+AB35*T36)),IF(AND(Q35="Probabilidad",Q36="Impacto"),(AB34-(+AB34*T36)),IF(Q36="Probabilidad",AB35,""))),"")</f>
        <v/>
      </c>
      <c r="AC36" s="130" t="str">
        <f t="shared" si="26"/>
        <v/>
      </c>
      <c r="AD36" s="131"/>
      <c r="AE36" s="132"/>
      <c r="AF36" s="132"/>
      <c r="AG36" s="133"/>
      <c r="AH36" s="134"/>
      <c r="AI36" s="134"/>
      <c r="AJ36" s="132"/>
      <c r="AK36" s="153"/>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row>
    <row r="37" spans="1:68" ht="151.5" hidden="1" customHeight="1" x14ac:dyDescent="0.3">
      <c r="A37" s="221"/>
      <c r="B37" s="215"/>
      <c r="C37" s="215"/>
      <c r="D37" s="224"/>
      <c r="E37" s="227"/>
      <c r="F37" s="215"/>
      <c r="G37" s="218"/>
      <c r="H37" s="212"/>
      <c r="I37" s="203"/>
      <c r="J37" s="209"/>
      <c r="K37" s="203">
        <f t="shared" ca="1" si="23"/>
        <v>0</v>
      </c>
      <c r="L37" s="212"/>
      <c r="M37" s="203"/>
      <c r="N37" s="206"/>
      <c r="O37" s="122">
        <v>4</v>
      </c>
      <c r="P37" s="123"/>
      <c r="Q37" s="124" t="str">
        <f t="shared" ref="Q37:Q39" si="27">IF(OR(R37="Preventivo",R37="Detectivo"),"Probabilidad",IF(R37="Correctivo","Impacto",""))</f>
        <v/>
      </c>
      <c r="R37" s="125"/>
      <c r="S37" s="125"/>
      <c r="T37" s="126" t="str">
        <f t="shared" si="24"/>
        <v/>
      </c>
      <c r="U37" s="125"/>
      <c r="V37" s="125"/>
      <c r="W37" s="125"/>
      <c r="X37" s="127" t="str">
        <f t="shared" ref="X37:X39" si="28">IFERROR(IF(AND(Q36="Probabilidad",Q37="Probabilidad"),(Z36-(+Z36*T37)),IF(AND(Q36="Impacto",Q37="Probabilidad"),(Z35-(+Z35*T37)),IF(Q37="Impacto",Z36,""))),"")</f>
        <v/>
      </c>
      <c r="Y37" s="128" t="str">
        <f t="shared" si="1"/>
        <v/>
      </c>
      <c r="Z37" s="129" t="str">
        <f t="shared" si="25"/>
        <v/>
      </c>
      <c r="AA37" s="128" t="str">
        <f t="shared" si="3"/>
        <v/>
      </c>
      <c r="AB37" s="129" t="str">
        <f t="shared" ref="AB37:AB39" si="29">IFERROR(IF(AND(Q36="Impacto",Q37="Impacto"),(AB36-(+AB36*T37)),IF(AND(Q36="Probabilidad",Q37="Impacto"),(AB35-(+AB35*T37)),IF(Q37="Probabilidad",AB36,""))),"")</f>
        <v/>
      </c>
      <c r="AC37" s="130"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1"/>
      <c r="AE37" s="132"/>
      <c r="AF37" s="132"/>
      <c r="AG37" s="133"/>
      <c r="AH37" s="134"/>
      <c r="AI37" s="134"/>
      <c r="AJ37" s="132"/>
      <c r="AK37" s="153"/>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row>
    <row r="38" spans="1:68" ht="151.5" hidden="1" customHeight="1" x14ac:dyDescent="0.3">
      <c r="A38" s="221"/>
      <c r="B38" s="215"/>
      <c r="C38" s="215"/>
      <c r="D38" s="224"/>
      <c r="E38" s="227"/>
      <c r="F38" s="215"/>
      <c r="G38" s="218"/>
      <c r="H38" s="212"/>
      <c r="I38" s="203"/>
      <c r="J38" s="209"/>
      <c r="K38" s="203">
        <f t="shared" ca="1" si="23"/>
        <v>0</v>
      </c>
      <c r="L38" s="212"/>
      <c r="M38" s="203"/>
      <c r="N38" s="206"/>
      <c r="O38" s="122">
        <v>5</v>
      </c>
      <c r="P38" s="123"/>
      <c r="Q38" s="124" t="str">
        <f t="shared" si="27"/>
        <v/>
      </c>
      <c r="R38" s="125"/>
      <c r="S38" s="125"/>
      <c r="T38" s="126" t="str">
        <f t="shared" si="24"/>
        <v/>
      </c>
      <c r="U38" s="125"/>
      <c r="V38" s="125"/>
      <c r="W38" s="125"/>
      <c r="X38" s="127" t="str">
        <f t="shared" si="28"/>
        <v/>
      </c>
      <c r="Y38" s="128" t="str">
        <f t="shared" si="1"/>
        <v/>
      </c>
      <c r="Z38" s="129" t="str">
        <f t="shared" si="25"/>
        <v/>
      </c>
      <c r="AA38" s="128" t="str">
        <f t="shared" si="3"/>
        <v/>
      </c>
      <c r="AB38" s="129" t="str">
        <f t="shared" si="29"/>
        <v/>
      </c>
      <c r="AC38" s="130" t="str">
        <f t="shared" ref="AC38:AC39" si="30">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1"/>
      <c r="AE38" s="132"/>
      <c r="AF38" s="132"/>
      <c r="AG38" s="133"/>
      <c r="AH38" s="134"/>
      <c r="AI38" s="134"/>
      <c r="AJ38" s="132"/>
      <c r="AK38" s="153"/>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ht="151.5" hidden="1" customHeight="1" x14ac:dyDescent="0.3">
      <c r="A39" s="222"/>
      <c r="B39" s="216"/>
      <c r="C39" s="216"/>
      <c r="D39" s="225"/>
      <c r="E39" s="228"/>
      <c r="F39" s="216"/>
      <c r="G39" s="219"/>
      <c r="H39" s="213"/>
      <c r="I39" s="204"/>
      <c r="J39" s="210"/>
      <c r="K39" s="204">
        <f t="shared" ca="1" si="23"/>
        <v>0</v>
      </c>
      <c r="L39" s="213"/>
      <c r="M39" s="204"/>
      <c r="N39" s="207"/>
      <c r="O39" s="122">
        <v>6</v>
      </c>
      <c r="P39" s="123"/>
      <c r="Q39" s="124" t="str">
        <f t="shared" si="27"/>
        <v/>
      </c>
      <c r="R39" s="125"/>
      <c r="S39" s="125"/>
      <c r="T39" s="126" t="str">
        <f t="shared" si="24"/>
        <v/>
      </c>
      <c r="U39" s="125"/>
      <c r="V39" s="125"/>
      <c r="W39" s="125"/>
      <c r="X39" s="127" t="str">
        <f t="shared" si="28"/>
        <v/>
      </c>
      <c r="Y39" s="128" t="str">
        <f t="shared" si="1"/>
        <v/>
      </c>
      <c r="Z39" s="129" t="str">
        <f t="shared" si="25"/>
        <v/>
      </c>
      <c r="AA39" s="128" t="str">
        <f t="shared" si="3"/>
        <v/>
      </c>
      <c r="AB39" s="129" t="str">
        <f t="shared" si="29"/>
        <v/>
      </c>
      <c r="AC39" s="130" t="str">
        <f t="shared" si="30"/>
        <v/>
      </c>
      <c r="AD39" s="131"/>
      <c r="AE39" s="132"/>
      <c r="AF39" s="132"/>
      <c r="AG39" s="133"/>
      <c r="AH39" s="134"/>
      <c r="AI39" s="134"/>
      <c r="AJ39" s="132"/>
      <c r="AK39" s="153"/>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ht="151.5" hidden="1" customHeight="1" x14ac:dyDescent="0.3">
      <c r="A40" s="220">
        <v>6</v>
      </c>
      <c r="B40" s="214"/>
      <c r="C40" s="214"/>
      <c r="D40" s="223"/>
      <c r="E40" s="226"/>
      <c r="F40" s="214"/>
      <c r="G40" s="217"/>
      <c r="H40" s="211" t="str">
        <f>IF(G40&lt;=0,"",IF(G40&lt;=2,"Muy Baja",IF(G40&lt;=24,"Baja",IF(G40&lt;=500,"Media",IF(G40&lt;=5000,"Alta","Muy Alta")))))</f>
        <v/>
      </c>
      <c r="I40" s="202" t="str">
        <f>IF(H40="","",IF(H40="Muy Baja",0.2,IF(H40="Baja",0.4,IF(H40="Media",0.6,IF(H40="Alta",0.8,IF(H40="Muy Alta",1,))))))</f>
        <v/>
      </c>
      <c r="J40" s="208"/>
      <c r="K40" s="202">
        <f>IF(NOT(ISERROR(MATCH(J40,'Tabla Impacto'!$B$221:$B$223,0))),'Tabla Impacto'!$F$223&amp;"Por favor no seleccionar los criterios de impacto(Afectación Económica o presupuestal y Pérdida Reputacional)",J40)</f>
        <v>0</v>
      </c>
      <c r="L40" s="211" t="str">
        <f>IF(OR(K40='Tabla Impacto'!$C$11,K40='Tabla Impacto'!$D$11),"Leve",IF(OR(K40='Tabla Impacto'!$C$12,K40='Tabla Impacto'!$D$12),"Menor",IF(OR(K40='Tabla Impacto'!$C$13,K40='Tabla Impacto'!$D$13),"Moderado",IF(OR(K40='Tabla Impacto'!$C$14,K40='Tabla Impacto'!$D$14),"Mayor",IF(OR(K40='Tabla Impacto'!$C$15,K40='Tabla Impacto'!$D$15),"Catastrófico","")))))</f>
        <v/>
      </c>
      <c r="M40" s="202" t="str">
        <f>IF(L40="","",IF(L40="Leve",0.2,IF(L40="Menor",0.4,IF(L40="Moderado",0.6,IF(L40="Mayor",0.8,IF(L40="Catastrófico",1,))))))</f>
        <v/>
      </c>
      <c r="N40" s="205"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2">
        <v>1</v>
      </c>
      <c r="P40" s="123"/>
      <c r="Q40" s="124" t="str">
        <f>IF(OR(R40="Preventivo",R40="Detectivo"),"Probabilidad",IF(R40="Correctivo","Impacto",""))</f>
        <v/>
      </c>
      <c r="R40" s="125"/>
      <c r="S40" s="125"/>
      <c r="T40" s="126" t="str">
        <f>IF(AND(R40="Preventivo",S40="Automático"),"50%",IF(AND(R40="Preventivo",S40="Manual"),"40%",IF(AND(R40="Detectivo",S40="Automático"),"40%",IF(AND(R40="Detectivo",S40="Manual"),"30%",IF(AND(R40="Correctivo",S40="Automático"),"35%",IF(AND(R40="Correctivo",S40="Manual"),"25%",""))))))</f>
        <v/>
      </c>
      <c r="U40" s="125"/>
      <c r="V40" s="125"/>
      <c r="W40" s="125"/>
      <c r="X40" s="127" t="str">
        <f>IFERROR(IF(Q40="Probabilidad",(I40-(+I40*T40)),IF(Q40="Impacto",I40,"")),"")</f>
        <v/>
      </c>
      <c r="Y40" s="128" t="str">
        <f>IFERROR(IF(X40="","",IF(X40&lt;=0.2,"Muy Baja",IF(X40&lt;=0.4,"Baja",IF(X40&lt;=0.6,"Media",IF(X40&lt;=0.8,"Alta","Muy Alta"))))),"")</f>
        <v/>
      </c>
      <c r="Z40" s="129" t="str">
        <f>+X40</f>
        <v/>
      </c>
      <c r="AA40" s="128" t="str">
        <f>IFERROR(IF(AB40="","",IF(AB40&lt;=0.2,"Leve",IF(AB40&lt;=0.4,"Menor",IF(AB40&lt;=0.6,"Moderado",IF(AB40&lt;=0.8,"Mayor","Catastrófico"))))),"")</f>
        <v/>
      </c>
      <c r="AB40" s="129" t="str">
        <f>IFERROR(IF(Q40="Impacto",(M40-(+M40*T40)),IF(Q40="Probabilidad",M40,"")),"")</f>
        <v/>
      </c>
      <c r="AC40" s="13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1"/>
      <c r="AE40" s="132"/>
      <c r="AF40" s="132"/>
      <c r="AG40" s="133"/>
      <c r="AH40" s="134"/>
      <c r="AI40" s="134"/>
      <c r="AJ40" s="132"/>
      <c r="AK40" s="153"/>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ht="151.5" hidden="1" customHeight="1" x14ac:dyDescent="0.3">
      <c r="A41" s="221"/>
      <c r="B41" s="215"/>
      <c r="C41" s="215"/>
      <c r="D41" s="224"/>
      <c r="E41" s="227"/>
      <c r="F41" s="215"/>
      <c r="G41" s="218"/>
      <c r="H41" s="212"/>
      <c r="I41" s="203"/>
      <c r="J41" s="209"/>
      <c r="K41" s="203">
        <f t="shared" ref="K41:K45" ca="1" si="31">IF(NOT(ISERROR(MATCH(J41,_xlfn.ANCHORARRAY(E52),0))),I54&amp;"Por favor no seleccionar los criterios de impacto",J41)</f>
        <v>0</v>
      </c>
      <c r="L41" s="212"/>
      <c r="M41" s="203"/>
      <c r="N41" s="206"/>
      <c r="O41" s="122">
        <v>2</v>
      </c>
      <c r="P41" s="123"/>
      <c r="Q41" s="124" t="str">
        <f>IF(OR(R41="Preventivo",R41="Detectivo"),"Probabilidad",IF(R41="Correctivo","Impacto",""))</f>
        <v/>
      </c>
      <c r="R41" s="125"/>
      <c r="S41" s="125"/>
      <c r="T41" s="126" t="str">
        <f t="shared" ref="T41:T45" si="32">IF(AND(R41="Preventivo",S41="Automático"),"50%",IF(AND(R41="Preventivo",S41="Manual"),"40%",IF(AND(R41="Detectivo",S41="Automático"),"40%",IF(AND(R41="Detectivo",S41="Manual"),"30%",IF(AND(R41="Correctivo",S41="Automático"),"35%",IF(AND(R41="Correctivo",S41="Manual"),"25%",""))))))</f>
        <v/>
      </c>
      <c r="U41" s="125"/>
      <c r="V41" s="125"/>
      <c r="W41" s="125"/>
      <c r="X41" s="127" t="str">
        <f>IFERROR(IF(AND(Q40="Probabilidad",Q41="Probabilidad"),(Z40-(+Z40*T41)),IF(Q41="Probabilidad",(I40-(+I40*T41)),IF(Q41="Impacto",Z40,""))),"")</f>
        <v/>
      </c>
      <c r="Y41" s="128" t="str">
        <f t="shared" si="1"/>
        <v/>
      </c>
      <c r="Z41" s="129" t="str">
        <f t="shared" ref="Z41:Z45" si="33">+X41</f>
        <v/>
      </c>
      <c r="AA41" s="128" t="str">
        <f t="shared" si="3"/>
        <v/>
      </c>
      <c r="AB41" s="129" t="str">
        <f>IFERROR(IF(AND(Q40="Impacto",Q41="Impacto"),(AB40-(+AB40*T41)),IF(Q41="Impacto",(M40-(+M40*T41)),IF(Q41="Probabilidad",AB40,""))),"")</f>
        <v/>
      </c>
      <c r="AC41" s="130" t="str">
        <f t="shared" ref="AC41:AC42" si="34">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1"/>
      <c r="AE41" s="132"/>
      <c r="AF41" s="132"/>
      <c r="AG41" s="133"/>
      <c r="AH41" s="134"/>
      <c r="AI41" s="134"/>
      <c r="AJ41" s="132"/>
      <c r="AK41" s="153"/>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row>
    <row r="42" spans="1:68" ht="151.5" hidden="1" customHeight="1" x14ac:dyDescent="0.3">
      <c r="A42" s="221"/>
      <c r="B42" s="215"/>
      <c r="C42" s="215"/>
      <c r="D42" s="224"/>
      <c r="E42" s="227"/>
      <c r="F42" s="215"/>
      <c r="G42" s="218"/>
      <c r="H42" s="212"/>
      <c r="I42" s="203"/>
      <c r="J42" s="209"/>
      <c r="K42" s="203">
        <f t="shared" ca="1" si="31"/>
        <v>0</v>
      </c>
      <c r="L42" s="212"/>
      <c r="M42" s="203"/>
      <c r="N42" s="206"/>
      <c r="O42" s="122">
        <v>3</v>
      </c>
      <c r="P42" s="135"/>
      <c r="Q42" s="124" t="str">
        <f>IF(OR(R42="Preventivo",R42="Detectivo"),"Probabilidad",IF(R42="Correctivo","Impacto",""))</f>
        <v/>
      </c>
      <c r="R42" s="125"/>
      <c r="S42" s="125"/>
      <c r="T42" s="126" t="str">
        <f t="shared" si="32"/>
        <v/>
      </c>
      <c r="U42" s="125"/>
      <c r="V42" s="125"/>
      <c r="W42" s="125"/>
      <c r="X42" s="127" t="str">
        <f>IFERROR(IF(AND(Q41="Probabilidad",Q42="Probabilidad"),(Z41-(+Z41*T42)),IF(AND(Q41="Impacto",Q42="Probabilidad"),(Z40-(+Z40*T42)),IF(Q42="Impacto",Z41,""))),"")</f>
        <v/>
      </c>
      <c r="Y42" s="128" t="str">
        <f t="shared" si="1"/>
        <v/>
      </c>
      <c r="Z42" s="129" t="str">
        <f t="shared" si="33"/>
        <v/>
      </c>
      <c r="AA42" s="128" t="str">
        <f t="shared" si="3"/>
        <v/>
      </c>
      <c r="AB42" s="129" t="str">
        <f>IFERROR(IF(AND(Q41="Impacto",Q42="Impacto"),(AB41-(+AB41*T42)),IF(AND(Q41="Probabilidad",Q42="Impacto"),(AB40-(+AB40*T42)),IF(Q42="Probabilidad",AB41,""))),"")</f>
        <v/>
      </c>
      <c r="AC42" s="130" t="str">
        <f t="shared" si="34"/>
        <v/>
      </c>
      <c r="AD42" s="131"/>
      <c r="AE42" s="132"/>
      <c r="AF42" s="132"/>
      <c r="AG42" s="133"/>
      <c r="AH42" s="134"/>
      <c r="AI42" s="134"/>
      <c r="AJ42" s="132"/>
      <c r="AK42" s="153"/>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ht="151.5" hidden="1" customHeight="1" x14ac:dyDescent="0.3">
      <c r="A43" s="221"/>
      <c r="B43" s="215"/>
      <c r="C43" s="215"/>
      <c r="D43" s="224"/>
      <c r="E43" s="227"/>
      <c r="F43" s="215"/>
      <c r="G43" s="218"/>
      <c r="H43" s="212"/>
      <c r="I43" s="203"/>
      <c r="J43" s="209"/>
      <c r="K43" s="203">
        <f t="shared" ca="1" si="31"/>
        <v>0</v>
      </c>
      <c r="L43" s="212"/>
      <c r="M43" s="203"/>
      <c r="N43" s="206"/>
      <c r="O43" s="122">
        <v>4</v>
      </c>
      <c r="P43" s="123"/>
      <c r="Q43" s="124" t="str">
        <f t="shared" ref="Q43:Q45" si="35">IF(OR(R43="Preventivo",R43="Detectivo"),"Probabilidad",IF(R43="Correctivo","Impacto",""))</f>
        <v/>
      </c>
      <c r="R43" s="125"/>
      <c r="S43" s="125"/>
      <c r="T43" s="126" t="str">
        <f t="shared" si="32"/>
        <v/>
      </c>
      <c r="U43" s="125"/>
      <c r="V43" s="125"/>
      <c r="W43" s="125"/>
      <c r="X43" s="127" t="str">
        <f t="shared" ref="X43:X45" si="36">IFERROR(IF(AND(Q42="Probabilidad",Q43="Probabilidad"),(Z42-(+Z42*T43)),IF(AND(Q42="Impacto",Q43="Probabilidad"),(Z41-(+Z41*T43)),IF(Q43="Impacto",Z42,""))),"")</f>
        <v/>
      </c>
      <c r="Y43" s="128" t="str">
        <f t="shared" si="1"/>
        <v/>
      </c>
      <c r="Z43" s="129" t="str">
        <f t="shared" si="33"/>
        <v/>
      </c>
      <c r="AA43" s="128" t="str">
        <f t="shared" si="3"/>
        <v/>
      </c>
      <c r="AB43" s="129" t="str">
        <f t="shared" ref="AB43:AB45" si="37">IFERROR(IF(AND(Q42="Impacto",Q43="Impacto"),(AB42-(+AB42*T43)),IF(AND(Q42="Probabilidad",Q43="Impacto"),(AB41-(+AB41*T43)),IF(Q43="Probabilidad",AB42,""))),"")</f>
        <v/>
      </c>
      <c r="AC43" s="13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1"/>
      <c r="AE43" s="132"/>
      <c r="AF43" s="132"/>
      <c r="AG43" s="133"/>
      <c r="AH43" s="134"/>
      <c r="AI43" s="134"/>
      <c r="AJ43" s="132"/>
      <c r="AK43" s="153"/>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ht="151.5" hidden="1" customHeight="1" x14ac:dyDescent="0.3">
      <c r="A44" s="221"/>
      <c r="B44" s="215"/>
      <c r="C44" s="215"/>
      <c r="D44" s="224"/>
      <c r="E44" s="227"/>
      <c r="F44" s="215"/>
      <c r="G44" s="218"/>
      <c r="H44" s="212"/>
      <c r="I44" s="203"/>
      <c r="J44" s="209"/>
      <c r="K44" s="203">
        <f t="shared" ca="1" si="31"/>
        <v>0</v>
      </c>
      <c r="L44" s="212"/>
      <c r="M44" s="203"/>
      <c r="N44" s="206"/>
      <c r="O44" s="122">
        <v>5</v>
      </c>
      <c r="P44" s="123"/>
      <c r="Q44" s="124" t="str">
        <f t="shared" si="35"/>
        <v/>
      </c>
      <c r="R44" s="125"/>
      <c r="S44" s="125"/>
      <c r="T44" s="126" t="str">
        <f t="shared" si="32"/>
        <v/>
      </c>
      <c r="U44" s="125"/>
      <c r="V44" s="125"/>
      <c r="W44" s="125"/>
      <c r="X44" s="127" t="str">
        <f t="shared" si="36"/>
        <v/>
      </c>
      <c r="Y44" s="128" t="str">
        <f t="shared" si="1"/>
        <v/>
      </c>
      <c r="Z44" s="129" t="str">
        <f t="shared" si="33"/>
        <v/>
      </c>
      <c r="AA44" s="128" t="str">
        <f t="shared" si="3"/>
        <v/>
      </c>
      <c r="AB44" s="129" t="str">
        <f t="shared" si="37"/>
        <v/>
      </c>
      <c r="AC44" s="130" t="str">
        <f t="shared" ref="AC44" si="38">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1"/>
      <c r="AE44" s="132"/>
      <c r="AF44" s="132"/>
      <c r="AG44" s="133"/>
      <c r="AH44" s="134"/>
      <c r="AI44" s="134"/>
      <c r="AJ44" s="132"/>
      <c r="AK44" s="153"/>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row>
    <row r="45" spans="1:68" ht="151.5" hidden="1" customHeight="1" x14ac:dyDescent="0.3">
      <c r="A45" s="222"/>
      <c r="B45" s="216"/>
      <c r="C45" s="216"/>
      <c r="D45" s="225"/>
      <c r="E45" s="228"/>
      <c r="F45" s="216"/>
      <c r="G45" s="219"/>
      <c r="H45" s="213"/>
      <c r="I45" s="204"/>
      <c r="J45" s="210"/>
      <c r="K45" s="204">
        <f t="shared" ca="1" si="31"/>
        <v>0</v>
      </c>
      <c r="L45" s="213"/>
      <c r="M45" s="204"/>
      <c r="N45" s="207"/>
      <c r="O45" s="122">
        <v>6</v>
      </c>
      <c r="P45" s="123"/>
      <c r="Q45" s="124" t="str">
        <f t="shared" si="35"/>
        <v/>
      </c>
      <c r="R45" s="125"/>
      <c r="S45" s="125"/>
      <c r="T45" s="126" t="str">
        <f t="shared" si="32"/>
        <v/>
      </c>
      <c r="U45" s="125"/>
      <c r="V45" s="125"/>
      <c r="W45" s="125"/>
      <c r="X45" s="127" t="str">
        <f t="shared" si="36"/>
        <v/>
      </c>
      <c r="Y45" s="128" t="str">
        <f t="shared" si="1"/>
        <v/>
      </c>
      <c r="Z45" s="129" t="str">
        <f t="shared" si="33"/>
        <v/>
      </c>
      <c r="AA45" s="128" t="str">
        <f>IFERROR(IF(AB45="","",IF(AB45&lt;=0.2,"Leve",IF(AB45&lt;=0.4,"Menor",IF(AB45&lt;=0.6,"Moderado",IF(AB45&lt;=0.8,"Mayor","Catastrófico"))))),"")</f>
        <v/>
      </c>
      <c r="AB45" s="129" t="str">
        <f t="shared" si="37"/>
        <v/>
      </c>
      <c r="AC45" s="13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1"/>
      <c r="AE45" s="132"/>
      <c r="AF45" s="132"/>
      <c r="AG45" s="133"/>
      <c r="AH45" s="134"/>
      <c r="AI45" s="134"/>
      <c r="AJ45" s="132"/>
      <c r="AK45" s="153"/>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row>
    <row r="46" spans="1:68" ht="151.5" hidden="1" customHeight="1" x14ac:dyDescent="0.3">
      <c r="A46" s="220">
        <v>7</v>
      </c>
      <c r="B46" s="214"/>
      <c r="C46" s="214"/>
      <c r="D46" s="223"/>
      <c r="E46" s="226"/>
      <c r="F46" s="214"/>
      <c r="G46" s="217"/>
      <c r="H46" s="211" t="str">
        <f>IF(G46&lt;=0,"",IF(G46&lt;=2,"Muy Baja",IF(G46&lt;=24,"Baja",IF(G46&lt;=500,"Media",IF(G46&lt;=5000,"Alta","Muy Alta")))))</f>
        <v/>
      </c>
      <c r="I46" s="202" t="str">
        <f>IF(H46="","",IF(H46="Muy Baja",0.2,IF(H46="Baja",0.4,IF(H46="Media",0.6,IF(H46="Alta",0.8,IF(H46="Muy Alta",1,))))))</f>
        <v/>
      </c>
      <c r="J46" s="208"/>
      <c r="K46" s="202">
        <f>IF(NOT(ISERROR(MATCH(J46,'Tabla Impacto'!$B$221:$B$223,0))),'Tabla Impacto'!$F$223&amp;"Por favor no seleccionar los criterios de impacto(Afectación Económica o presupuestal y Pérdida Reputacional)",J46)</f>
        <v>0</v>
      </c>
      <c r="L46" s="211" t="str">
        <f>IF(OR(K46='Tabla Impacto'!$C$11,K46='Tabla Impacto'!$D$11),"Leve",IF(OR(K46='Tabla Impacto'!$C$12,K46='Tabla Impacto'!$D$12),"Menor",IF(OR(K46='Tabla Impacto'!$C$13,K46='Tabla Impacto'!$D$13),"Moderado",IF(OR(K46='Tabla Impacto'!$C$14,K46='Tabla Impacto'!$D$14),"Mayor",IF(OR(K46='Tabla Impacto'!$C$15,K46='Tabla Impacto'!$D$15),"Catastrófico","")))))</f>
        <v/>
      </c>
      <c r="M46" s="202" t="str">
        <f>IF(L46="","",IF(L46="Leve",0.2,IF(L46="Menor",0.4,IF(L46="Moderado",0.6,IF(L46="Mayor",0.8,IF(L46="Catastrófico",1,))))))</f>
        <v/>
      </c>
      <c r="N46" s="205"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2">
        <v>1</v>
      </c>
      <c r="P46" s="123"/>
      <c r="Q46" s="124" t="str">
        <f>IF(OR(R46="Preventivo",R46="Detectivo"),"Probabilidad",IF(R46="Correctivo","Impacto",""))</f>
        <v/>
      </c>
      <c r="R46" s="125"/>
      <c r="S46" s="125"/>
      <c r="T46" s="126" t="str">
        <f>IF(AND(R46="Preventivo",S46="Automático"),"50%",IF(AND(R46="Preventivo",S46="Manual"),"40%",IF(AND(R46="Detectivo",S46="Automático"),"40%",IF(AND(R46="Detectivo",S46="Manual"),"30%",IF(AND(R46="Correctivo",S46="Automático"),"35%",IF(AND(R46="Correctivo",S46="Manual"),"25%",""))))))</f>
        <v/>
      </c>
      <c r="U46" s="125"/>
      <c r="V46" s="125"/>
      <c r="W46" s="125"/>
      <c r="X46" s="127" t="str">
        <f>IFERROR(IF(Q46="Probabilidad",(I46-(+I46*T46)),IF(Q46="Impacto",I46,"")),"")</f>
        <v/>
      </c>
      <c r="Y46" s="128" t="str">
        <f>IFERROR(IF(X46="","",IF(X46&lt;=0.2,"Muy Baja",IF(X46&lt;=0.4,"Baja",IF(X46&lt;=0.6,"Media",IF(X46&lt;=0.8,"Alta","Muy Alta"))))),"")</f>
        <v/>
      </c>
      <c r="Z46" s="129" t="str">
        <f>+X46</f>
        <v/>
      </c>
      <c r="AA46" s="128" t="str">
        <f>IFERROR(IF(AB46="","",IF(AB46&lt;=0.2,"Leve",IF(AB46&lt;=0.4,"Menor",IF(AB46&lt;=0.6,"Moderado",IF(AB46&lt;=0.8,"Mayor","Catastrófico"))))),"")</f>
        <v/>
      </c>
      <c r="AB46" s="129" t="str">
        <f>IFERROR(IF(Q46="Impacto",(M46-(+M46*T46)),IF(Q46="Probabilidad",M46,"")),"")</f>
        <v/>
      </c>
      <c r="AC46" s="13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1"/>
      <c r="AE46" s="132"/>
      <c r="AF46" s="132"/>
      <c r="AG46" s="133"/>
      <c r="AH46" s="134"/>
      <c r="AI46" s="134"/>
      <c r="AJ46" s="132"/>
      <c r="AK46" s="153"/>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row>
    <row r="47" spans="1:68" ht="151.5" hidden="1" customHeight="1" x14ac:dyDescent="0.3">
      <c r="A47" s="221"/>
      <c r="B47" s="215"/>
      <c r="C47" s="215"/>
      <c r="D47" s="224"/>
      <c r="E47" s="227"/>
      <c r="F47" s="215"/>
      <c r="G47" s="218"/>
      <c r="H47" s="212"/>
      <c r="I47" s="203"/>
      <c r="J47" s="209"/>
      <c r="K47" s="203">
        <f t="shared" ref="K47:K51" ca="1" si="39">IF(NOT(ISERROR(MATCH(J47,_xlfn.ANCHORARRAY(E58),0))),I60&amp;"Por favor no seleccionar los criterios de impacto",J47)</f>
        <v>0</v>
      </c>
      <c r="L47" s="212"/>
      <c r="M47" s="203"/>
      <c r="N47" s="206"/>
      <c r="O47" s="122">
        <v>2</v>
      </c>
      <c r="P47" s="123"/>
      <c r="Q47" s="124" t="str">
        <f>IF(OR(R47="Preventivo",R47="Detectivo"),"Probabilidad",IF(R47="Correctivo","Impacto",""))</f>
        <v/>
      </c>
      <c r="R47" s="125"/>
      <c r="S47" s="125"/>
      <c r="T47" s="126" t="str">
        <f t="shared" ref="T47:T51" si="40">IF(AND(R47="Preventivo",S47="Automático"),"50%",IF(AND(R47="Preventivo",S47="Manual"),"40%",IF(AND(R47="Detectivo",S47="Automático"),"40%",IF(AND(R47="Detectivo",S47="Manual"),"30%",IF(AND(R47="Correctivo",S47="Automático"),"35%",IF(AND(R47="Correctivo",S47="Manual"),"25%",""))))))</f>
        <v/>
      </c>
      <c r="U47" s="125"/>
      <c r="V47" s="125"/>
      <c r="W47" s="125"/>
      <c r="X47" s="127" t="str">
        <f>IFERROR(IF(AND(Q46="Probabilidad",Q47="Probabilidad"),(Z46-(+Z46*T47)),IF(Q47="Probabilidad",(I46-(+I46*T47)),IF(Q47="Impacto",Z46,""))),"")</f>
        <v/>
      </c>
      <c r="Y47" s="128" t="str">
        <f t="shared" si="1"/>
        <v/>
      </c>
      <c r="Z47" s="129" t="str">
        <f t="shared" ref="Z47:Z51" si="41">+X47</f>
        <v/>
      </c>
      <c r="AA47" s="128" t="str">
        <f t="shared" si="3"/>
        <v/>
      </c>
      <c r="AB47" s="129" t="str">
        <f>IFERROR(IF(AND(Q46="Impacto",Q47="Impacto"),(AB46-(+AB46*T47)),IF(Q47="Impacto",(M46-(+M46*T47)),IF(Q47="Probabilidad",AB46,""))),"")</f>
        <v/>
      </c>
      <c r="AC47" s="130" t="str">
        <f t="shared" ref="AC47:AC48" si="42">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1"/>
      <c r="AE47" s="132"/>
      <c r="AF47" s="132"/>
      <c r="AG47" s="133"/>
      <c r="AH47" s="134"/>
      <c r="AI47" s="134"/>
      <c r="AJ47" s="132"/>
      <c r="AK47" s="153"/>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row>
    <row r="48" spans="1:68" ht="151.5" hidden="1" customHeight="1" x14ac:dyDescent="0.3">
      <c r="A48" s="221"/>
      <c r="B48" s="215"/>
      <c r="C48" s="215"/>
      <c r="D48" s="224"/>
      <c r="E48" s="227"/>
      <c r="F48" s="215"/>
      <c r="G48" s="218"/>
      <c r="H48" s="212"/>
      <c r="I48" s="203"/>
      <c r="J48" s="209"/>
      <c r="K48" s="203">
        <f t="shared" ca="1" si="39"/>
        <v>0</v>
      </c>
      <c r="L48" s="212"/>
      <c r="M48" s="203"/>
      <c r="N48" s="206"/>
      <c r="O48" s="122">
        <v>3</v>
      </c>
      <c r="P48" s="135"/>
      <c r="Q48" s="124" t="str">
        <f>IF(OR(R48="Preventivo",R48="Detectivo"),"Probabilidad",IF(R48="Correctivo","Impacto",""))</f>
        <v/>
      </c>
      <c r="R48" s="125"/>
      <c r="S48" s="125"/>
      <c r="T48" s="126" t="str">
        <f t="shared" si="40"/>
        <v/>
      </c>
      <c r="U48" s="125"/>
      <c r="V48" s="125"/>
      <c r="W48" s="125"/>
      <c r="X48" s="127" t="str">
        <f>IFERROR(IF(AND(Q47="Probabilidad",Q48="Probabilidad"),(Z47-(+Z47*T48)),IF(AND(Q47="Impacto",Q48="Probabilidad"),(Z46-(+Z46*T48)),IF(Q48="Impacto",Z47,""))),"")</f>
        <v/>
      </c>
      <c r="Y48" s="128" t="str">
        <f t="shared" si="1"/>
        <v/>
      </c>
      <c r="Z48" s="129" t="str">
        <f t="shared" si="41"/>
        <v/>
      </c>
      <c r="AA48" s="128" t="str">
        <f t="shared" si="3"/>
        <v/>
      </c>
      <c r="AB48" s="129" t="str">
        <f>IFERROR(IF(AND(Q47="Impacto",Q48="Impacto"),(AB47-(+AB47*T48)),IF(AND(Q47="Probabilidad",Q48="Impacto"),(AB46-(+AB46*T48)),IF(Q48="Probabilidad",AB47,""))),"")</f>
        <v/>
      </c>
      <c r="AC48" s="130" t="str">
        <f t="shared" si="42"/>
        <v/>
      </c>
      <c r="AD48" s="131"/>
      <c r="AE48" s="132"/>
      <c r="AF48" s="132"/>
      <c r="AG48" s="133"/>
      <c r="AH48" s="134"/>
      <c r="AI48" s="134"/>
      <c r="AJ48" s="132"/>
      <c r="AK48" s="153"/>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row>
    <row r="49" spans="1:68" ht="151.5" hidden="1" customHeight="1" x14ac:dyDescent="0.3">
      <c r="A49" s="221"/>
      <c r="B49" s="215"/>
      <c r="C49" s="215"/>
      <c r="D49" s="224"/>
      <c r="E49" s="227"/>
      <c r="F49" s="215"/>
      <c r="G49" s="218"/>
      <c r="H49" s="212"/>
      <c r="I49" s="203"/>
      <c r="J49" s="209"/>
      <c r="K49" s="203">
        <f t="shared" ca="1" si="39"/>
        <v>0</v>
      </c>
      <c r="L49" s="212"/>
      <c r="M49" s="203"/>
      <c r="N49" s="206"/>
      <c r="O49" s="122">
        <v>4</v>
      </c>
      <c r="P49" s="123"/>
      <c r="Q49" s="124" t="str">
        <f t="shared" ref="Q49:Q51" si="43">IF(OR(R49="Preventivo",R49="Detectivo"),"Probabilidad",IF(R49="Correctivo","Impacto",""))</f>
        <v/>
      </c>
      <c r="R49" s="125"/>
      <c r="S49" s="125"/>
      <c r="T49" s="126" t="str">
        <f t="shared" si="40"/>
        <v/>
      </c>
      <c r="U49" s="125"/>
      <c r="V49" s="125"/>
      <c r="W49" s="125"/>
      <c r="X49" s="127" t="str">
        <f t="shared" ref="X49:X51" si="44">IFERROR(IF(AND(Q48="Probabilidad",Q49="Probabilidad"),(Z48-(+Z48*T49)),IF(AND(Q48="Impacto",Q49="Probabilidad"),(Z47-(+Z47*T49)),IF(Q49="Impacto",Z48,""))),"")</f>
        <v/>
      </c>
      <c r="Y49" s="128" t="str">
        <f t="shared" si="1"/>
        <v/>
      </c>
      <c r="Z49" s="129" t="str">
        <f t="shared" si="41"/>
        <v/>
      </c>
      <c r="AA49" s="128" t="str">
        <f t="shared" si="3"/>
        <v/>
      </c>
      <c r="AB49" s="129" t="str">
        <f t="shared" ref="AB49:AB51" si="45">IFERROR(IF(AND(Q48="Impacto",Q49="Impacto"),(AB48-(+AB48*T49)),IF(AND(Q48="Probabilidad",Q49="Impacto"),(AB47-(+AB47*T49)),IF(Q49="Probabilidad",AB48,""))),"")</f>
        <v/>
      </c>
      <c r="AC49" s="130"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1"/>
      <c r="AE49" s="132"/>
      <c r="AF49" s="132"/>
      <c r="AG49" s="133"/>
      <c r="AH49" s="134"/>
      <c r="AI49" s="134"/>
      <c r="AJ49" s="132"/>
      <c r="AK49" s="153"/>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row>
    <row r="50" spans="1:68" ht="151.5" hidden="1" customHeight="1" x14ac:dyDescent="0.3">
      <c r="A50" s="221"/>
      <c r="B50" s="215"/>
      <c r="C50" s="215"/>
      <c r="D50" s="224"/>
      <c r="E50" s="227"/>
      <c r="F50" s="215"/>
      <c r="G50" s="218"/>
      <c r="H50" s="212"/>
      <c r="I50" s="203"/>
      <c r="J50" s="209"/>
      <c r="K50" s="203">
        <f t="shared" ca="1" si="39"/>
        <v>0</v>
      </c>
      <c r="L50" s="212"/>
      <c r="M50" s="203"/>
      <c r="N50" s="206"/>
      <c r="O50" s="122">
        <v>5</v>
      </c>
      <c r="P50" s="123"/>
      <c r="Q50" s="124" t="str">
        <f t="shared" si="43"/>
        <v/>
      </c>
      <c r="R50" s="125"/>
      <c r="S50" s="125"/>
      <c r="T50" s="126" t="str">
        <f t="shared" si="40"/>
        <v/>
      </c>
      <c r="U50" s="125"/>
      <c r="V50" s="125"/>
      <c r="W50" s="125"/>
      <c r="X50" s="127" t="str">
        <f t="shared" si="44"/>
        <v/>
      </c>
      <c r="Y50" s="128" t="str">
        <f t="shared" si="1"/>
        <v/>
      </c>
      <c r="Z50" s="129" t="str">
        <f t="shared" si="41"/>
        <v/>
      </c>
      <c r="AA50" s="128" t="str">
        <f t="shared" si="3"/>
        <v/>
      </c>
      <c r="AB50" s="129" t="str">
        <f t="shared" si="45"/>
        <v/>
      </c>
      <c r="AC50" s="130" t="str">
        <f t="shared" ref="AC50:AC51" si="46">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1"/>
      <c r="AE50" s="132"/>
      <c r="AF50" s="132"/>
      <c r="AG50" s="133"/>
      <c r="AH50" s="134"/>
      <c r="AI50" s="134"/>
      <c r="AJ50" s="132"/>
      <c r="AK50" s="153"/>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row>
    <row r="51" spans="1:68" ht="151.5" hidden="1" customHeight="1" x14ac:dyDescent="0.3">
      <c r="A51" s="222"/>
      <c r="B51" s="216"/>
      <c r="C51" s="216"/>
      <c r="D51" s="225"/>
      <c r="E51" s="228"/>
      <c r="F51" s="216"/>
      <c r="G51" s="219"/>
      <c r="H51" s="213"/>
      <c r="I51" s="204"/>
      <c r="J51" s="210"/>
      <c r="K51" s="204">
        <f t="shared" ca="1" si="39"/>
        <v>0</v>
      </c>
      <c r="L51" s="213"/>
      <c r="M51" s="204"/>
      <c r="N51" s="207"/>
      <c r="O51" s="122">
        <v>6</v>
      </c>
      <c r="P51" s="123"/>
      <c r="Q51" s="124" t="str">
        <f t="shared" si="43"/>
        <v/>
      </c>
      <c r="R51" s="125"/>
      <c r="S51" s="125"/>
      <c r="T51" s="126" t="str">
        <f t="shared" si="40"/>
        <v/>
      </c>
      <c r="U51" s="125"/>
      <c r="V51" s="125"/>
      <c r="W51" s="125"/>
      <c r="X51" s="127" t="str">
        <f t="shared" si="44"/>
        <v/>
      </c>
      <c r="Y51" s="128" t="str">
        <f t="shared" si="1"/>
        <v/>
      </c>
      <c r="Z51" s="129" t="str">
        <f t="shared" si="41"/>
        <v/>
      </c>
      <c r="AA51" s="128" t="str">
        <f t="shared" si="3"/>
        <v/>
      </c>
      <c r="AB51" s="129" t="str">
        <f t="shared" si="45"/>
        <v/>
      </c>
      <c r="AC51" s="130" t="str">
        <f t="shared" si="46"/>
        <v/>
      </c>
      <c r="AD51" s="131"/>
      <c r="AE51" s="132"/>
      <c r="AF51" s="132"/>
      <c r="AG51" s="133"/>
      <c r="AH51" s="134"/>
      <c r="AI51" s="134"/>
      <c r="AJ51" s="132"/>
      <c r="AK51" s="153"/>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row>
    <row r="52" spans="1:68" ht="151.5" hidden="1" customHeight="1" x14ac:dyDescent="0.3">
      <c r="A52" s="220">
        <v>8</v>
      </c>
      <c r="B52" s="214"/>
      <c r="C52" s="214"/>
      <c r="D52" s="223"/>
      <c r="E52" s="226"/>
      <c r="F52" s="214"/>
      <c r="G52" s="217"/>
      <c r="H52" s="211" t="str">
        <f>IF(G52&lt;=0,"",IF(G52&lt;=2,"Muy Baja",IF(G52&lt;=24,"Baja",IF(G52&lt;=500,"Media",IF(G52&lt;=5000,"Alta","Muy Alta")))))</f>
        <v/>
      </c>
      <c r="I52" s="202" t="str">
        <f>IF(H52="","",IF(H52="Muy Baja",0.2,IF(H52="Baja",0.4,IF(H52="Media",0.6,IF(H52="Alta",0.8,IF(H52="Muy Alta",1,))))))</f>
        <v/>
      </c>
      <c r="J52" s="208"/>
      <c r="K52" s="202">
        <f>IF(NOT(ISERROR(MATCH(J52,'Tabla Impacto'!$B$221:$B$223,0))),'Tabla Impacto'!$F$223&amp;"Por favor no seleccionar los criterios de impacto(Afectación Económica o presupuestal y Pérdida Reputacional)",J52)</f>
        <v>0</v>
      </c>
      <c r="L52" s="211" t="str">
        <f>IF(OR(K52='Tabla Impacto'!$C$11,K52='Tabla Impacto'!$D$11),"Leve",IF(OR(K52='Tabla Impacto'!$C$12,K52='Tabla Impacto'!$D$12),"Menor",IF(OR(K52='Tabla Impacto'!$C$13,K52='Tabla Impacto'!$D$13),"Moderado",IF(OR(K52='Tabla Impacto'!$C$14,K52='Tabla Impacto'!$D$14),"Mayor",IF(OR(K52='Tabla Impacto'!$C$15,K52='Tabla Impacto'!$D$15),"Catastrófico","")))))</f>
        <v/>
      </c>
      <c r="M52" s="202" t="str">
        <f>IF(L52="","",IF(L52="Leve",0.2,IF(L52="Menor",0.4,IF(L52="Moderado",0.6,IF(L52="Mayor",0.8,IF(L52="Catastrófico",1,))))))</f>
        <v/>
      </c>
      <c r="N52" s="205"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2">
        <v>1</v>
      </c>
      <c r="P52" s="123"/>
      <c r="Q52" s="124" t="str">
        <f>IF(OR(R52="Preventivo",R52="Detectivo"),"Probabilidad",IF(R52="Correctivo","Impacto",""))</f>
        <v/>
      </c>
      <c r="R52" s="125"/>
      <c r="S52" s="125"/>
      <c r="T52" s="126" t="str">
        <f>IF(AND(R52="Preventivo",S52="Automático"),"50%",IF(AND(R52="Preventivo",S52="Manual"),"40%",IF(AND(R52="Detectivo",S52="Automático"),"40%",IF(AND(R52="Detectivo",S52="Manual"),"30%",IF(AND(R52="Correctivo",S52="Automático"),"35%",IF(AND(R52="Correctivo",S52="Manual"),"25%",""))))))</f>
        <v/>
      </c>
      <c r="U52" s="125"/>
      <c r="V52" s="125"/>
      <c r="W52" s="125"/>
      <c r="X52" s="127" t="str">
        <f>IFERROR(IF(Q52="Probabilidad",(I52-(+I52*T52)),IF(Q52="Impacto",I52,"")),"")</f>
        <v/>
      </c>
      <c r="Y52" s="128" t="str">
        <f>IFERROR(IF(X52="","",IF(X52&lt;=0.2,"Muy Baja",IF(X52&lt;=0.4,"Baja",IF(X52&lt;=0.6,"Media",IF(X52&lt;=0.8,"Alta","Muy Alta"))))),"")</f>
        <v/>
      </c>
      <c r="Z52" s="129" t="str">
        <f>+X52</f>
        <v/>
      </c>
      <c r="AA52" s="128" t="str">
        <f>IFERROR(IF(AB52="","",IF(AB52&lt;=0.2,"Leve",IF(AB52&lt;=0.4,"Menor",IF(AB52&lt;=0.6,"Moderado",IF(AB52&lt;=0.8,"Mayor","Catastrófico"))))),"")</f>
        <v/>
      </c>
      <c r="AB52" s="129" t="str">
        <f>IFERROR(IF(Q52="Impacto",(M52-(+M52*T52)),IF(Q52="Probabilidad",M52,"")),"")</f>
        <v/>
      </c>
      <c r="AC52" s="130"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1"/>
      <c r="AE52" s="132"/>
      <c r="AF52" s="132"/>
      <c r="AG52" s="133"/>
      <c r="AH52" s="134"/>
      <c r="AI52" s="134"/>
      <c r="AJ52" s="132"/>
      <c r="AK52" s="153"/>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row>
    <row r="53" spans="1:68" ht="151.5" hidden="1" customHeight="1" x14ac:dyDescent="0.3">
      <c r="A53" s="221"/>
      <c r="B53" s="215"/>
      <c r="C53" s="215"/>
      <c r="D53" s="224"/>
      <c r="E53" s="227"/>
      <c r="F53" s="215"/>
      <c r="G53" s="218"/>
      <c r="H53" s="212"/>
      <c r="I53" s="203"/>
      <c r="J53" s="209"/>
      <c r="K53" s="203">
        <f ca="1">IF(NOT(ISERROR(MATCH(J53,_xlfn.ANCHORARRAY(E64),0))),I66&amp;"Por favor no seleccionar los criterios de impacto",J53)</f>
        <v>0</v>
      </c>
      <c r="L53" s="212"/>
      <c r="M53" s="203"/>
      <c r="N53" s="206"/>
      <c r="O53" s="122">
        <v>2</v>
      </c>
      <c r="P53" s="123"/>
      <c r="Q53" s="124" t="str">
        <f>IF(OR(R53="Preventivo",R53="Detectivo"),"Probabilidad",IF(R53="Correctivo","Impacto",""))</f>
        <v/>
      </c>
      <c r="R53" s="125"/>
      <c r="S53" s="125"/>
      <c r="T53" s="126" t="str">
        <f t="shared" ref="T53:T57" si="47">IF(AND(R53="Preventivo",S53="Automático"),"50%",IF(AND(R53="Preventivo",S53="Manual"),"40%",IF(AND(R53="Detectivo",S53="Automático"),"40%",IF(AND(R53="Detectivo",S53="Manual"),"30%",IF(AND(R53="Correctivo",S53="Automático"),"35%",IF(AND(R53="Correctivo",S53="Manual"),"25%",""))))))</f>
        <v/>
      </c>
      <c r="U53" s="125"/>
      <c r="V53" s="125"/>
      <c r="W53" s="125"/>
      <c r="X53" s="127" t="str">
        <f>IFERROR(IF(AND(Q52="Probabilidad",Q53="Probabilidad"),(Z52-(+Z52*T53)),IF(Q53="Probabilidad",(I52-(+I52*T53)),IF(Q53="Impacto",Z52,""))),"")</f>
        <v/>
      </c>
      <c r="Y53" s="128" t="str">
        <f t="shared" si="1"/>
        <v/>
      </c>
      <c r="Z53" s="129" t="str">
        <f t="shared" ref="Z53:Z57" si="48">+X53</f>
        <v/>
      </c>
      <c r="AA53" s="128" t="str">
        <f t="shared" si="3"/>
        <v/>
      </c>
      <c r="AB53" s="129" t="str">
        <f>IFERROR(IF(AND(Q52="Impacto",Q53="Impacto"),(AB52-(+AB52*T53)),IF(Q53="Impacto",(M52-(+M52*T53)),IF(Q53="Probabilidad",AB52,""))),"")</f>
        <v/>
      </c>
      <c r="AC53" s="130" t="str">
        <f t="shared" ref="AC53:AC54" si="49">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1"/>
      <c r="AE53" s="132"/>
      <c r="AF53" s="132"/>
      <c r="AG53" s="133"/>
      <c r="AH53" s="134"/>
      <c r="AI53" s="134"/>
      <c r="AJ53" s="132"/>
      <c r="AK53" s="153"/>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row>
    <row r="54" spans="1:68" ht="151.5" hidden="1" customHeight="1" x14ac:dyDescent="0.3">
      <c r="A54" s="221"/>
      <c r="B54" s="215"/>
      <c r="C54" s="215"/>
      <c r="D54" s="224"/>
      <c r="E54" s="227"/>
      <c r="F54" s="215"/>
      <c r="G54" s="218"/>
      <c r="H54" s="212"/>
      <c r="I54" s="203"/>
      <c r="J54" s="209"/>
      <c r="K54" s="203">
        <f ca="1">IF(NOT(ISERROR(MATCH(J54,_xlfn.ANCHORARRAY(E65),0))),I67&amp;"Por favor no seleccionar los criterios de impacto",J54)</f>
        <v>0</v>
      </c>
      <c r="L54" s="212"/>
      <c r="M54" s="203"/>
      <c r="N54" s="206"/>
      <c r="O54" s="122">
        <v>3</v>
      </c>
      <c r="P54" s="135"/>
      <c r="Q54" s="124" t="str">
        <f>IF(OR(R54="Preventivo",R54="Detectivo"),"Probabilidad",IF(R54="Correctivo","Impacto",""))</f>
        <v/>
      </c>
      <c r="R54" s="125"/>
      <c r="S54" s="125"/>
      <c r="T54" s="126" t="str">
        <f t="shared" si="47"/>
        <v/>
      </c>
      <c r="U54" s="125"/>
      <c r="V54" s="125"/>
      <c r="W54" s="125"/>
      <c r="X54" s="127" t="str">
        <f>IFERROR(IF(AND(Q53="Probabilidad",Q54="Probabilidad"),(Z53-(+Z53*T54)),IF(AND(Q53="Impacto",Q54="Probabilidad"),(Z52-(+Z52*T54)),IF(Q54="Impacto",Z53,""))),"")</f>
        <v/>
      </c>
      <c r="Y54" s="128" t="str">
        <f t="shared" si="1"/>
        <v/>
      </c>
      <c r="Z54" s="129" t="str">
        <f t="shared" si="48"/>
        <v/>
      </c>
      <c r="AA54" s="128" t="str">
        <f t="shared" si="3"/>
        <v/>
      </c>
      <c r="AB54" s="129" t="str">
        <f>IFERROR(IF(AND(Q53="Impacto",Q54="Impacto"),(AB53-(+AB53*T54)),IF(AND(Q53="Probabilidad",Q54="Impacto"),(AB52-(+AB52*T54)),IF(Q54="Probabilidad",AB53,""))),"")</f>
        <v/>
      </c>
      <c r="AC54" s="130" t="str">
        <f t="shared" si="49"/>
        <v/>
      </c>
      <c r="AD54" s="131"/>
      <c r="AE54" s="132"/>
      <c r="AF54" s="132"/>
      <c r="AG54" s="133"/>
      <c r="AH54" s="134"/>
      <c r="AI54" s="134"/>
      <c r="AJ54" s="132"/>
      <c r="AK54" s="153"/>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row>
    <row r="55" spans="1:68" ht="151.5" hidden="1" customHeight="1" x14ac:dyDescent="0.3">
      <c r="A55" s="221"/>
      <c r="B55" s="215"/>
      <c r="C55" s="215"/>
      <c r="D55" s="224"/>
      <c r="E55" s="227"/>
      <c r="F55" s="215"/>
      <c r="G55" s="218"/>
      <c r="H55" s="212"/>
      <c r="I55" s="203"/>
      <c r="J55" s="209"/>
      <c r="K55" s="203">
        <f ca="1">IF(NOT(ISERROR(MATCH(J55,_xlfn.ANCHORARRAY(E66),0))),I68&amp;"Por favor no seleccionar los criterios de impacto",J55)</f>
        <v>0</v>
      </c>
      <c r="L55" s="212"/>
      <c r="M55" s="203"/>
      <c r="N55" s="206"/>
      <c r="O55" s="122">
        <v>4</v>
      </c>
      <c r="P55" s="123"/>
      <c r="Q55" s="124" t="str">
        <f t="shared" ref="Q55:Q57" si="50">IF(OR(R55="Preventivo",R55="Detectivo"),"Probabilidad",IF(R55="Correctivo","Impacto",""))</f>
        <v/>
      </c>
      <c r="R55" s="125"/>
      <c r="S55" s="125"/>
      <c r="T55" s="126" t="str">
        <f t="shared" si="47"/>
        <v/>
      </c>
      <c r="U55" s="125"/>
      <c r="V55" s="125"/>
      <c r="W55" s="125"/>
      <c r="X55" s="127" t="str">
        <f t="shared" ref="X55:X57" si="51">IFERROR(IF(AND(Q54="Probabilidad",Q55="Probabilidad"),(Z54-(+Z54*T55)),IF(AND(Q54="Impacto",Q55="Probabilidad"),(Z53-(+Z53*T55)),IF(Q55="Impacto",Z54,""))),"")</f>
        <v/>
      </c>
      <c r="Y55" s="128" t="str">
        <f t="shared" si="1"/>
        <v/>
      </c>
      <c r="Z55" s="129" t="str">
        <f t="shared" si="48"/>
        <v/>
      </c>
      <c r="AA55" s="128" t="str">
        <f t="shared" si="3"/>
        <v/>
      </c>
      <c r="AB55" s="129" t="str">
        <f t="shared" ref="AB55:AB57" si="52">IFERROR(IF(AND(Q54="Impacto",Q55="Impacto"),(AB54-(+AB54*T55)),IF(AND(Q54="Probabilidad",Q55="Impacto"),(AB53-(+AB53*T55)),IF(Q55="Probabilidad",AB54,""))),"")</f>
        <v/>
      </c>
      <c r="AC55" s="130"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1"/>
      <c r="AE55" s="132"/>
      <c r="AF55" s="132"/>
      <c r="AG55" s="133"/>
      <c r="AH55" s="134"/>
      <c r="AI55" s="134"/>
      <c r="AJ55" s="132"/>
      <c r="AK55" s="153"/>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row>
    <row r="56" spans="1:68" ht="151.5" hidden="1" customHeight="1" x14ac:dyDescent="0.3">
      <c r="A56" s="221"/>
      <c r="B56" s="215"/>
      <c r="C56" s="215"/>
      <c r="D56" s="224"/>
      <c r="E56" s="227"/>
      <c r="F56" s="215"/>
      <c r="G56" s="218"/>
      <c r="H56" s="212"/>
      <c r="I56" s="203"/>
      <c r="J56" s="209"/>
      <c r="K56" s="203">
        <f ca="1">IF(NOT(ISERROR(MATCH(J56,_xlfn.ANCHORARRAY(E67),0))),I69&amp;"Por favor no seleccionar los criterios de impacto",J56)</f>
        <v>0</v>
      </c>
      <c r="L56" s="212"/>
      <c r="M56" s="203"/>
      <c r="N56" s="206"/>
      <c r="O56" s="122">
        <v>5</v>
      </c>
      <c r="P56" s="123"/>
      <c r="Q56" s="124" t="str">
        <f t="shared" si="50"/>
        <v/>
      </c>
      <c r="R56" s="125"/>
      <c r="S56" s="125"/>
      <c r="T56" s="126" t="str">
        <f t="shared" si="47"/>
        <v/>
      </c>
      <c r="U56" s="125"/>
      <c r="V56" s="125"/>
      <c r="W56" s="125"/>
      <c r="X56" s="127" t="str">
        <f t="shared" si="51"/>
        <v/>
      </c>
      <c r="Y56" s="128" t="str">
        <f t="shared" si="1"/>
        <v/>
      </c>
      <c r="Z56" s="129" t="str">
        <f t="shared" si="48"/>
        <v/>
      </c>
      <c r="AA56" s="128" t="str">
        <f t="shared" si="3"/>
        <v/>
      </c>
      <c r="AB56" s="129" t="str">
        <f t="shared" si="52"/>
        <v/>
      </c>
      <c r="AC56" s="130" t="str">
        <f t="shared" ref="AC56:AC57" si="53">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1"/>
      <c r="AE56" s="132"/>
      <c r="AF56" s="132"/>
      <c r="AG56" s="133"/>
      <c r="AH56" s="134"/>
      <c r="AI56" s="134"/>
      <c r="AJ56" s="132"/>
      <c r="AK56" s="153"/>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row>
    <row r="57" spans="1:68" ht="151.5" hidden="1" customHeight="1" x14ac:dyDescent="0.3">
      <c r="A57" s="222"/>
      <c r="B57" s="216"/>
      <c r="C57" s="216"/>
      <c r="D57" s="225"/>
      <c r="E57" s="228"/>
      <c r="F57" s="216"/>
      <c r="G57" s="219"/>
      <c r="H57" s="213"/>
      <c r="I57" s="204"/>
      <c r="J57" s="210"/>
      <c r="K57" s="204">
        <f ca="1">IF(NOT(ISERROR(MATCH(J57,_xlfn.ANCHORARRAY(E68),0))),I70&amp;"Por favor no seleccionar los criterios de impacto",J57)</f>
        <v>0</v>
      </c>
      <c r="L57" s="213"/>
      <c r="M57" s="204"/>
      <c r="N57" s="207"/>
      <c r="O57" s="122">
        <v>6</v>
      </c>
      <c r="P57" s="123"/>
      <c r="Q57" s="124" t="str">
        <f t="shared" si="50"/>
        <v/>
      </c>
      <c r="R57" s="125"/>
      <c r="S57" s="125"/>
      <c r="T57" s="126" t="str">
        <f t="shared" si="47"/>
        <v/>
      </c>
      <c r="U57" s="125"/>
      <c r="V57" s="125"/>
      <c r="W57" s="125"/>
      <c r="X57" s="127" t="str">
        <f t="shared" si="51"/>
        <v/>
      </c>
      <c r="Y57" s="128" t="str">
        <f t="shared" si="1"/>
        <v/>
      </c>
      <c r="Z57" s="129" t="str">
        <f t="shared" si="48"/>
        <v/>
      </c>
      <c r="AA57" s="128" t="str">
        <f t="shared" si="3"/>
        <v/>
      </c>
      <c r="AB57" s="129" t="str">
        <f t="shared" si="52"/>
        <v/>
      </c>
      <c r="AC57" s="130" t="str">
        <f t="shared" si="53"/>
        <v/>
      </c>
      <c r="AD57" s="131"/>
      <c r="AE57" s="132"/>
      <c r="AF57" s="132"/>
      <c r="AG57" s="133"/>
      <c r="AH57" s="134"/>
      <c r="AI57" s="134"/>
      <c r="AJ57" s="132"/>
      <c r="AK57" s="153"/>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row>
    <row r="58" spans="1:68" ht="151.5" hidden="1" customHeight="1" x14ac:dyDescent="0.3">
      <c r="A58" s="220">
        <v>9</v>
      </c>
      <c r="B58" s="214"/>
      <c r="C58" s="214"/>
      <c r="D58" s="223"/>
      <c r="E58" s="226"/>
      <c r="F58" s="214"/>
      <c r="G58" s="217"/>
      <c r="H58" s="211" t="str">
        <f>IF(G58&lt;=0,"",IF(G58&lt;=2,"Muy Baja",IF(G58&lt;=24,"Baja",IF(G58&lt;=500,"Media",IF(G58&lt;=5000,"Alta","Muy Alta")))))</f>
        <v/>
      </c>
      <c r="I58" s="202" t="str">
        <f>IF(H58="","",IF(H58="Muy Baja",0.2,IF(H58="Baja",0.4,IF(H58="Media",0.6,IF(H58="Alta",0.8,IF(H58="Muy Alta",1,))))))</f>
        <v/>
      </c>
      <c r="J58" s="208"/>
      <c r="K58" s="202">
        <f>IF(NOT(ISERROR(MATCH(J58,'Tabla Impacto'!$B$221:$B$223,0))),'Tabla Impacto'!$F$223&amp;"Por favor no seleccionar los criterios de impacto(Afectación Económica o presupuestal y Pérdida Reputacional)",J58)</f>
        <v>0</v>
      </c>
      <c r="L58" s="211" t="str">
        <f>IF(OR(K58='Tabla Impacto'!$C$11,K58='Tabla Impacto'!$D$11),"Leve",IF(OR(K58='Tabla Impacto'!$C$12,K58='Tabla Impacto'!$D$12),"Menor",IF(OR(K58='Tabla Impacto'!$C$13,K58='Tabla Impacto'!$D$13),"Moderado",IF(OR(K58='Tabla Impacto'!$C$14,K58='Tabla Impacto'!$D$14),"Mayor",IF(OR(K58='Tabla Impacto'!$C$15,K58='Tabla Impacto'!$D$15),"Catastrófico","")))))</f>
        <v/>
      </c>
      <c r="M58" s="202" t="str">
        <f>IF(L58="","",IF(L58="Leve",0.2,IF(L58="Menor",0.4,IF(L58="Moderado",0.6,IF(L58="Mayor",0.8,IF(L58="Catastrófico",1,))))))</f>
        <v/>
      </c>
      <c r="N58" s="205"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2">
        <v>1</v>
      </c>
      <c r="P58" s="123"/>
      <c r="Q58" s="124" t="str">
        <f>IF(OR(R58="Preventivo",R58="Detectivo"),"Probabilidad",IF(R58="Correctivo","Impacto",""))</f>
        <v/>
      </c>
      <c r="R58" s="125"/>
      <c r="S58" s="125"/>
      <c r="T58" s="126" t="str">
        <f>IF(AND(R58="Preventivo",S58="Automático"),"50%",IF(AND(R58="Preventivo",S58="Manual"),"40%",IF(AND(R58="Detectivo",S58="Automático"),"40%",IF(AND(R58="Detectivo",S58="Manual"),"30%",IF(AND(R58="Correctivo",S58="Automático"),"35%",IF(AND(R58="Correctivo",S58="Manual"),"25%",""))))))</f>
        <v/>
      </c>
      <c r="U58" s="125"/>
      <c r="V58" s="125"/>
      <c r="W58" s="125"/>
      <c r="X58" s="127" t="str">
        <f>IFERROR(IF(Q58="Probabilidad",(I58-(+I58*T58)),IF(Q58="Impacto",I58,"")),"")</f>
        <v/>
      </c>
      <c r="Y58" s="128" t="str">
        <f>IFERROR(IF(X58="","",IF(X58&lt;=0.2,"Muy Baja",IF(X58&lt;=0.4,"Baja",IF(X58&lt;=0.6,"Media",IF(X58&lt;=0.8,"Alta","Muy Alta"))))),"")</f>
        <v/>
      </c>
      <c r="Z58" s="129" t="str">
        <f>+X58</f>
        <v/>
      </c>
      <c r="AA58" s="128" t="str">
        <f>IFERROR(IF(AB58="","",IF(AB58&lt;=0.2,"Leve",IF(AB58&lt;=0.4,"Menor",IF(AB58&lt;=0.6,"Moderado",IF(AB58&lt;=0.8,"Mayor","Catastrófico"))))),"")</f>
        <v/>
      </c>
      <c r="AB58" s="129" t="str">
        <f>IFERROR(IF(Q58="Impacto",(M58-(+M58*T58)),IF(Q58="Probabilidad",M58,"")),"")</f>
        <v/>
      </c>
      <c r="AC58" s="130"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1"/>
      <c r="AE58" s="132"/>
      <c r="AF58" s="132"/>
      <c r="AG58" s="133"/>
      <c r="AH58" s="134"/>
      <c r="AI58" s="134"/>
      <c r="AJ58" s="132"/>
      <c r="AK58" s="153"/>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row>
    <row r="59" spans="1:68" ht="151.5" hidden="1" customHeight="1" x14ac:dyDescent="0.3">
      <c r="A59" s="221"/>
      <c r="B59" s="215"/>
      <c r="C59" s="215"/>
      <c r="D59" s="224"/>
      <c r="E59" s="227"/>
      <c r="F59" s="215"/>
      <c r="G59" s="218"/>
      <c r="H59" s="212"/>
      <c r="I59" s="203"/>
      <c r="J59" s="209"/>
      <c r="K59" s="203">
        <f ca="1">IF(NOT(ISERROR(MATCH(J59,_xlfn.ANCHORARRAY(E70),0))),I72&amp;"Por favor no seleccionar los criterios de impacto",J59)</f>
        <v>0</v>
      </c>
      <c r="L59" s="212"/>
      <c r="M59" s="203"/>
      <c r="N59" s="206"/>
      <c r="O59" s="122">
        <v>2</v>
      </c>
      <c r="P59" s="123"/>
      <c r="Q59" s="124" t="str">
        <f>IF(OR(R59="Preventivo",R59="Detectivo"),"Probabilidad",IF(R59="Correctivo","Impacto",""))</f>
        <v/>
      </c>
      <c r="R59" s="125"/>
      <c r="S59" s="125"/>
      <c r="T59" s="126" t="str">
        <f t="shared" ref="T59:T63" si="54">IF(AND(R59="Preventivo",S59="Automático"),"50%",IF(AND(R59="Preventivo",S59="Manual"),"40%",IF(AND(R59="Detectivo",S59="Automático"),"40%",IF(AND(R59="Detectivo",S59="Manual"),"30%",IF(AND(R59="Correctivo",S59="Automático"),"35%",IF(AND(R59="Correctivo",S59="Manual"),"25%",""))))))</f>
        <v/>
      </c>
      <c r="U59" s="125"/>
      <c r="V59" s="125"/>
      <c r="W59" s="125"/>
      <c r="X59" s="127" t="str">
        <f>IFERROR(IF(AND(Q58="Probabilidad",Q59="Probabilidad"),(Z58-(+Z58*T59)),IF(Q59="Probabilidad",(I58-(+I58*T59)),IF(Q59="Impacto",Z58,""))),"")</f>
        <v/>
      </c>
      <c r="Y59" s="128" t="str">
        <f t="shared" si="1"/>
        <v/>
      </c>
      <c r="Z59" s="129" t="str">
        <f t="shared" ref="Z59:Z63" si="55">+X59</f>
        <v/>
      </c>
      <c r="AA59" s="128" t="str">
        <f t="shared" si="3"/>
        <v/>
      </c>
      <c r="AB59" s="129" t="str">
        <f>IFERROR(IF(AND(Q58="Impacto",Q59="Impacto"),(AB58-(+AB58*T59)),IF(Q59="Impacto",(M58-(+M58*T59)),IF(Q59="Probabilidad",AB58,""))),"")</f>
        <v/>
      </c>
      <c r="AC59" s="130" t="str">
        <f t="shared" ref="AC59:AC60" si="56">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1"/>
      <c r="AE59" s="132"/>
      <c r="AF59" s="132"/>
      <c r="AG59" s="133"/>
      <c r="AH59" s="134"/>
      <c r="AI59" s="134"/>
      <c r="AJ59" s="132"/>
      <c r="AK59" s="153"/>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row>
    <row r="60" spans="1:68" ht="151.5" hidden="1" customHeight="1" x14ac:dyDescent="0.3">
      <c r="A60" s="221"/>
      <c r="B60" s="215"/>
      <c r="C60" s="215"/>
      <c r="D60" s="224"/>
      <c r="E60" s="227"/>
      <c r="F60" s="215"/>
      <c r="G60" s="218"/>
      <c r="H60" s="212"/>
      <c r="I60" s="203"/>
      <c r="J60" s="209"/>
      <c r="K60" s="203">
        <f ca="1">IF(NOT(ISERROR(MATCH(J60,_xlfn.ANCHORARRAY(E71),0))),I73&amp;"Por favor no seleccionar los criterios de impacto",J60)</f>
        <v>0</v>
      </c>
      <c r="L60" s="212"/>
      <c r="M60" s="203"/>
      <c r="N60" s="206"/>
      <c r="O60" s="122">
        <v>3</v>
      </c>
      <c r="P60" s="135"/>
      <c r="Q60" s="124" t="str">
        <f>IF(OR(R60="Preventivo",R60="Detectivo"),"Probabilidad",IF(R60="Correctivo","Impacto",""))</f>
        <v/>
      </c>
      <c r="R60" s="125"/>
      <c r="S60" s="125"/>
      <c r="T60" s="126" t="str">
        <f t="shared" si="54"/>
        <v/>
      </c>
      <c r="U60" s="125"/>
      <c r="V60" s="125"/>
      <c r="W60" s="125"/>
      <c r="X60" s="127" t="str">
        <f>IFERROR(IF(AND(Q59="Probabilidad",Q60="Probabilidad"),(Z59-(+Z59*T60)),IF(AND(Q59="Impacto",Q60="Probabilidad"),(Z58-(+Z58*T60)),IF(Q60="Impacto",Z59,""))),"")</f>
        <v/>
      </c>
      <c r="Y60" s="128" t="str">
        <f t="shared" si="1"/>
        <v/>
      </c>
      <c r="Z60" s="129" t="str">
        <f t="shared" si="55"/>
        <v/>
      </c>
      <c r="AA60" s="128" t="str">
        <f t="shared" si="3"/>
        <v/>
      </c>
      <c r="AB60" s="129" t="str">
        <f>IFERROR(IF(AND(Q59="Impacto",Q60="Impacto"),(AB59-(+AB59*T60)),IF(AND(Q59="Probabilidad",Q60="Impacto"),(AB58-(+AB58*T60)),IF(Q60="Probabilidad",AB59,""))),"")</f>
        <v/>
      </c>
      <c r="AC60" s="130" t="str">
        <f t="shared" si="56"/>
        <v/>
      </c>
      <c r="AD60" s="131"/>
      <c r="AE60" s="132"/>
      <c r="AF60" s="132"/>
      <c r="AG60" s="133"/>
      <c r="AH60" s="134"/>
      <c r="AI60" s="134"/>
      <c r="AJ60" s="132"/>
      <c r="AK60" s="153"/>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68" ht="151.5" hidden="1" customHeight="1" x14ac:dyDescent="0.3">
      <c r="A61" s="221"/>
      <c r="B61" s="215"/>
      <c r="C61" s="215"/>
      <c r="D61" s="224"/>
      <c r="E61" s="227"/>
      <c r="F61" s="215"/>
      <c r="G61" s="218"/>
      <c r="H61" s="212"/>
      <c r="I61" s="203"/>
      <c r="J61" s="209"/>
      <c r="K61" s="203">
        <f ca="1">IF(NOT(ISERROR(MATCH(J61,_xlfn.ANCHORARRAY(E72),0))),I74&amp;"Por favor no seleccionar los criterios de impacto",J61)</f>
        <v>0</v>
      </c>
      <c r="L61" s="212"/>
      <c r="M61" s="203"/>
      <c r="N61" s="206"/>
      <c r="O61" s="122">
        <v>4</v>
      </c>
      <c r="P61" s="123"/>
      <c r="Q61" s="124" t="str">
        <f t="shared" ref="Q61:Q63" si="57">IF(OR(R61="Preventivo",R61="Detectivo"),"Probabilidad",IF(R61="Correctivo","Impacto",""))</f>
        <v/>
      </c>
      <c r="R61" s="125"/>
      <c r="S61" s="125"/>
      <c r="T61" s="126" t="str">
        <f t="shared" si="54"/>
        <v/>
      </c>
      <c r="U61" s="125"/>
      <c r="V61" s="125"/>
      <c r="W61" s="125"/>
      <c r="X61" s="127" t="str">
        <f t="shared" ref="X61:X63" si="58">IFERROR(IF(AND(Q60="Probabilidad",Q61="Probabilidad"),(Z60-(+Z60*T61)),IF(AND(Q60="Impacto",Q61="Probabilidad"),(Z59-(+Z59*T61)),IF(Q61="Impacto",Z60,""))),"")</f>
        <v/>
      </c>
      <c r="Y61" s="128" t="str">
        <f t="shared" si="1"/>
        <v/>
      </c>
      <c r="Z61" s="129" t="str">
        <f t="shared" si="55"/>
        <v/>
      </c>
      <c r="AA61" s="128" t="str">
        <f t="shared" si="3"/>
        <v/>
      </c>
      <c r="AB61" s="129" t="str">
        <f t="shared" ref="AB61:AB63" si="59">IFERROR(IF(AND(Q60="Impacto",Q61="Impacto"),(AB60-(+AB60*T61)),IF(AND(Q60="Probabilidad",Q61="Impacto"),(AB59-(+AB59*T61)),IF(Q61="Probabilidad",AB60,""))),"")</f>
        <v/>
      </c>
      <c r="AC61" s="130"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1"/>
      <c r="AE61" s="132"/>
      <c r="AF61" s="132"/>
      <c r="AG61" s="133"/>
      <c r="AH61" s="134"/>
      <c r="AI61" s="134"/>
      <c r="AJ61" s="132"/>
      <c r="AK61" s="153"/>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row>
    <row r="62" spans="1:68" ht="151.5" hidden="1" customHeight="1" x14ac:dyDescent="0.3">
      <c r="A62" s="221"/>
      <c r="B62" s="215"/>
      <c r="C62" s="215"/>
      <c r="D62" s="224"/>
      <c r="E62" s="227"/>
      <c r="F62" s="215"/>
      <c r="G62" s="218"/>
      <c r="H62" s="212"/>
      <c r="I62" s="203"/>
      <c r="J62" s="209"/>
      <c r="K62" s="203">
        <f ca="1">IF(NOT(ISERROR(MATCH(J62,_xlfn.ANCHORARRAY(E73),0))),I75&amp;"Por favor no seleccionar los criterios de impacto",J62)</f>
        <v>0</v>
      </c>
      <c r="L62" s="212"/>
      <c r="M62" s="203"/>
      <c r="N62" s="206"/>
      <c r="O62" s="122">
        <v>5</v>
      </c>
      <c r="P62" s="123"/>
      <c r="Q62" s="124" t="str">
        <f t="shared" si="57"/>
        <v/>
      </c>
      <c r="R62" s="125"/>
      <c r="S62" s="125"/>
      <c r="T62" s="126" t="str">
        <f t="shared" si="54"/>
        <v/>
      </c>
      <c r="U62" s="125"/>
      <c r="V62" s="125"/>
      <c r="W62" s="125"/>
      <c r="X62" s="127" t="str">
        <f t="shared" si="58"/>
        <v/>
      </c>
      <c r="Y62" s="128" t="str">
        <f t="shared" si="1"/>
        <v/>
      </c>
      <c r="Z62" s="129" t="str">
        <f t="shared" si="55"/>
        <v/>
      </c>
      <c r="AA62" s="128" t="str">
        <f t="shared" si="3"/>
        <v/>
      </c>
      <c r="AB62" s="129" t="str">
        <f t="shared" si="59"/>
        <v/>
      </c>
      <c r="AC62" s="130" t="str">
        <f t="shared" ref="AC62:AC63" si="60">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53"/>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row>
    <row r="63" spans="1:68" ht="151.5" hidden="1" customHeight="1" x14ac:dyDescent="0.3">
      <c r="A63" s="222"/>
      <c r="B63" s="216"/>
      <c r="C63" s="216"/>
      <c r="D63" s="225"/>
      <c r="E63" s="228"/>
      <c r="F63" s="216"/>
      <c r="G63" s="219"/>
      <c r="H63" s="213"/>
      <c r="I63" s="204"/>
      <c r="J63" s="210"/>
      <c r="K63" s="204">
        <f ca="1">IF(NOT(ISERROR(MATCH(J63,_xlfn.ANCHORARRAY(E74),0))),I76&amp;"Por favor no seleccionar los criterios de impacto",J63)</f>
        <v>0</v>
      </c>
      <c r="L63" s="213"/>
      <c r="M63" s="204"/>
      <c r="N63" s="207"/>
      <c r="O63" s="122">
        <v>6</v>
      </c>
      <c r="P63" s="123"/>
      <c r="Q63" s="124" t="str">
        <f t="shared" si="57"/>
        <v/>
      </c>
      <c r="R63" s="125"/>
      <c r="S63" s="125"/>
      <c r="T63" s="126" t="str">
        <f t="shared" si="54"/>
        <v/>
      </c>
      <c r="U63" s="125"/>
      <c r="V63" s="125"/>
      <c r="W63" s="125"/>
      <c r="X63" s="127" t="str">
        <f t="shared" si="58"/>
        <v/>
      </c>
      <c r="Y63" s="128" t="str">
        <f t="shared" si="1"/>
        <v/>
      </c>
      <c r="Z63" s="129" t="str">
        <f t="shared" si="55"/>
        <v/>
      </c>
      <c r="AA63" s="128" t="str">
        <f t="shared" si="3"/>
        <v/>
      </c>
      <c r="AB63" s="129" t="str">
        <f t="shared" si="59"/>
        <v/>
      </c>
      <c r="AC63" s="130" t="str">
        <f t="shared" si="60"/>
        <v/>
      </c>
      <c r="AD63" s="131"/>
      <c r="AE63" s="132"/>
      <c r="AF63" s="132"/>
      <c r="AG63" s="133"/>
      <c r="AH63" s="134"/>
      <c r="AI63" s="134"/>
      <c r="AJ63" s="132"/>
      <c r="AK63" s="153"/>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row>
    <row r="64" spans="1:68" ht="151.5" hidden="1" customHeight="1" x14ac:dyDescent="0.3">
      <c r="A64" s="220">
        <v>10</v>
      </c>
      <c r="B64" s="214"/>
      <c r="C64" s="214"/>
      <c r="D64" s="223"/>
      <c r="E64" s="226"/>
      <c r="F64" s="214"/>
      <c r="G64" s="217"/>
      <c r="H64" s="211" t="str">
        <f>IF(G64&lt;=0,"",IF(G64&lt;=2,"Muy Baja",IF(G64&lt;=24,"Baja",IF(G64&lt;=500,"Media",IF(G64&lt;=5000,"Alta","Muy Alta")))))</f>
        <v/>
      </c>
      <c r="I64" s="202" t="str">
        <f>IF(H64="","",IF(H64="Muy Baja",0.2,IF(H64="Baja",0.4,IF(H64="Media",0.6,IF(H64="Alta",0.8,IF(H64="Muy Alta",1,))))))</f>
        <v/>
      </c>
      <c r="J64" s="208"/>
      <c r="K64" s="202">
        <f>IF(NOT(ISERROR(MATCH(J64,'Tabla Impacto'!$B$221:$B$223,0))),'Tabla Impacto'!$F$223&amp;"Por favor no seleccionar los criterios de impacto(Afectación Económica o presupuestal y Pérdida Reputacional)",J64)</f>
        <v>0</v>
      </c>
      <c r="L64" s="211" t="str">
        <f>IF(OR(K64='Tabla Impacto'!$C$11,K64='Tabla Impacto'!$D$11),"Leve",IF(OR(K64='Tabla Impacto'!$C$12,K64='Tabla Impacto'!$D$12),"Menor",IF(OR(K64='Tabla Impacto'!$C$13,K64='Tabla Impacto'!$D$13),"Moderado",IF(OR(K64='Tabla Impacto'!$C$14,K64='Tabla Impacto'!$D$14),"Mayor",IF(OR(K64='Tabla Impacto'!$C$15,K64='Tabla Impacto'!$D$15),"Catastrófico","")))))</f>
        <v/>
      </c>
      <c r="M64" s="202" t="str">
        <f>IF(L64="","",IF(L64="Leve",0.2,IF(L64="Menor",0.4,IF(L64="Moderado",0.6,IF(L64="Mayor",0.8,IF(L64="Catastrófico",1,))))))</f>
        <v/>
      </c>
      <c r="N64" s="205"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2">
        <v>1</v>
      </c>
      <c r="P64" s="123"/>
      <c r="Q64" s="124" t="str">
        <f>IF(OR(R64="Preventivo",R64="Detectivo"),"Probabilidad",IF(R64="Correctivo","Impacto",""))</f>
        <v/>
      </c>
      <c r="R64" s="125"/>
      <c r="S64" s="125"/>
      <c r="T64" s="126" t="str">
        <f>IF(AND(R64="Preventivo",S64="Automático"),"50%",IF(AND(R64="Preventivo",S64="Manual"),"40%",IF(AND(R64="Detectivo",S64="Automático"),"40%",IF(AND(R64="Detectivo",S64="Manual"),"30%",IF(AND(R64="Correctivo",S64="Automático"),"35%",IF(AND(R64="Correctivo",S64="Manual"),"25%",""))))))</f>
        <v/>
      </c>
      <c r="U64" s="125"/>
      <c r="V64" s="125"/>
      <c r="W64" s="125"/>
      <c r="X64" s="127" t="str">
        <f>IFERROR(IF(Q64="Probabilidad",(I64-(+I64*T64)),IF(Q64="Impacto",I64,"")),"")</f>
        <v/>
      </c>
      <c r="Y64" s="128" t="str">
        <f>IFERROR(IF(X64="","",IF(X64&lt;=0.2,"Muy Baja",IF(X64&lt;=0.4,"Baja",IF(X64&lt;=0.6,"Media",IF(X64&lt;=0.8,"Alta","Muy Alta"))))),"")</f>
        <v/>
      </c>
      <c r="Z64" s="129" t="str">
        <f>+X64</f>
        <v/>
      </c>
      <c r="AA64" s="128" t="str">
        <f>IFERROR(IF(AB64="","",IF(AB64&lt;=0.2,"Leve",IF(AB64&lt;=0.4,"Menor",IF(AB64&lt;=0.6,"Moderado",IF(AB64&lt;=0.8,"Mayor","Catastrófico"))))),"")</f>
        <v/>
      </c>
      <c r="AB64" s="129" t="str">
        <f>IFERROR(IF(Q64="Impacto",(M64-(+M64*T64)),IF(Q64="Probabilidad",M64,"")),"")</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53"/>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row>
    <row r="65" spans="1:37" ht="151.5" hidden="1" customHeight="1" x14ac:dyDescent="0.3">
      <c r="A65" s="221"/>
      <c r="B65" s="215"/>
      <c r="C65" s="215"/>
      <c r="D65" s="224"/>
      <c r="E65" s="227"/>
      <c r="F65" s="215"/>
      <c r="G65" s="218"/>
      <c r="H65" s="212"/>
      <c r="I65" s="203"/>
      <c r="J65" s="209"/>
      <c r="K65" s="203">
        <f ca="1">IF(NOT(ISERROR(MATCH(J65,_xlfn.ANCHORARRAY(E76),0))),I78&amp;"Por favor no seleccionar los criterios de impacto",J65)</f>
        <v>0</v>
      </c>
      <c r="L65" s="212"/>
      <c r="M65" s="203"/>
      <c r="N65" s="206"/>
      <c r="O65" s="122">
        <v>2</v>
      </c>
      <c r="P65" s="123"/>
      <c r="Q65" s="124" t="str">
        <f>IF(OR(R65="Preventivo",R65="Detectivo"),"Probabilidad",IF(R65="Correctivo","Impacto",""))</f>
        <v/>
      </c>
      <c r="R65" s="125"/>
      <c r="S65" s="125"/>
      <c r="T65" s="126" t="str">
        <f t="shared" ref="T65:T69" si="61">IF(AND(R65="Preventivo",S65="Automático"),"50%",IF(AND(R65="Preventivo",S65="Manual"),"40%",IF(AND(R65="Detectivo",S65="Automático"),"40%",IF(AND(R65="Detectivo",S65="Manual"),"30%",IF(AND(R65="Correctivo",S65="Automático"),"35%",IF(AND(R65="Correctivo",S65="Manual"),"25%",""))))))</f>
        <v/>
      </c>
      <c r="U65" s="125"/>
      <c r="V65" s="125"/>
      <c r="W65" s="125"/>
      <c r="X65" s="127" t="str">
        <f>IFERROR(IF(AND(Q64="Probabilidad",Q65="Probabilidad"),(Z64-(+Z64*T65)),IF(Q65="Probabilidad",(I64-(+I64*T65)),IF(Q65="Impacto",Z64,""))),"")</f>
        <v/>
      </c>
      <c r="Y65" s="128" t="str">
        <f t="shared" si="1"/>
        <v/>
      </c>
      <c r="Z65" s="129" t="str">
        <f t="shared" ref="Z65:Z69" si="62">+X65</f>
        <v/>
      </c>
      <c r="AA65" s="128" t="str">
        <f t="shared" si="3"/>
        <v/>
      </c>
      <c r="AB65" s="129" t="str">
        <f>IFERROR(IF(AND(Q64="Impacto",Q65="Impacto"),(AB64-(+AB64*T65)),IF(Q65="Impacto",(M64-(+M64*T65)),IF(Q65="Probabilidad",AB64,""))),"")</f>
        <v/>
      </c>
      <c r="AC65" s="130" t="str">
        <f t="shared" ref="AC65:AC66" si="6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53"/>
    </row>
    <row r="66" spans="1:37" ht="151.5" hidden="1" customHeight="1" x14ac:dyDescent="0.3">
      <c r="A66" s="221"/>
      <c r="B66" s="215"/>
      <c r="C66" s="215"/>
      <c r="D66" s="224"/>
      <c r="E66" s="227"/>
      <c r="F66" s="215"/>
      <c r="G66" s="218"/>
      <c r="H66" s="212"/>
      <c r="I66" s="203"/>
      <c r="J66" s="209"/>
      <c r="K66" s="203">
        <f ca="1">IF(NOT(ISERROR(MATCH(J66,_xlfn.ANCHORARRAY(E77),0))),I79&amp;"Por favor no seleccionar los criterios de impacto",J66)</f>
        <v>0</v>
      </c>
      <c r="L66" s="212"/>
      <c r="M66" s="203"/>
      <c r="N66" s="206"/>
      <c r="O66" s="122">
        <v>3</v>
      </c>
      <c r="P66" s="135"/>
      <c r="Q66" s="124" t="str">
        <f>IF(OR(R66="Preventivo",R66="Detectivo"),"Probabilidad",IF(R66="Correctivo","Impacto",""))</f>
        <v/>
      </c>
      <c r="R66" s="125"/>
      <c r="S66" s="125"/>
      <c r="T66" s="126" t="str">
        <f t="shared" si="61"/>
        <v/>
      </c>
      <c r="U66" s="125"/>
      <c r="V66" s="125"/>
      <c r="W66" s="125"/>
      <c r="X66" s="127" t="str">
        <f>IFERROR(IF(AND(Q65="Probabilidad",Q66="Probabilidad"),(Z65-(+Z65*T66)),IF(AND(Q65="Impacto",Q66="Probabilidad"),(Z64-(+Z64*T66)),IF(Q66="Impacto",Z65,""))),"")</f>
        <v/>
      </c>
      <c r="Y66" s="128" t="str">
        <f t="shared" si="1"/>
        <v/>
      </c>
      <c r="Z66" s="129" t="str">
        <f t="shared" si="62"/>
        <v/>
      </c>
      <c r="AA66" s="128" t="str">
        <f t="shared" si="3"/>
        <v/>
      </c>
      <c r="AB66" s="129" t="str">
        <f>IFERROR(IF(AND(Q65="Impacto",Q66="Impacto"),(AB65-(+AB65*T66)),IF(AND(Q65="Probabilidad",Q66="Impacto"),(AB64-(+AB64*T66)),IF(Q66="Probabilidad",AB65,""))),"")</f>
        <v/>
      </c>
      <c r="AC66" s="130" t="str">
        <f t="shared" si="63"/>
        <v/>
      </c>
      <c r="AD66" s="131"/>
      <c r="AE66" s="132"/>
      <c r="AF66" s="132"/>
      <c r="AG66" s="133"/>
      <c r="AH66" s="134"/>
      <c r="AI66" s="134"/>
      <c r="AJ66" s="132"/>
      <c r="AK66" s="153"/>
    </row>
    <row r="67" spans="1:37" ht="151.5" hidden="1" customHeight="1" x14ac:dyDescent="0.3">
      <c r="A67" s="221"/>
      <c r="B67" s="215"/>
      <c r="C67" s="215"/>
      <c r="D67" s="224"/>
      <c r="E67" s="227"/>
      <c r="F67" s="215"/>
      <c r="G67" s="218"/>
      <c r="H67" s="212"/>
      <c r="I67" s="203"/>
      <c r="J67" s="209"/>
      <c r="K67" s="203">
        <f ca="1">IF(NOT(ISERROR(MATCH(J67,_xlfn.ANCHORARRAY(E78),0))),I80&amp;"Por favor no seleccionar los criterios de impacto",J67)</f>
        <v>0</v>
      </c>
      <c r="L67" s="212"/>
      <c r="M67" s="203"/>
      <c r="N67" s="206"/>
      <c r="O67" s="122">
        <v>4</v>
      </c>
      <c r="P67" s="123"/>
      <c r="Q67" s="124" t="str">
        <f t="shared" ref="Q67:Q69" si="64">IF(OR(R67="Preventivo",R67="Detectivo"),"Probabilidad",IF(R67="Correctivo","Impacto",""))</f>
        <v/>
      </c>
      <c r="R67" s="125"/>
      <c r="S67" s="125"/>
      <c r="T67" s="126" t="str">
        <f t="shared" si="61"/>
        <v/>
      </c>
      <c r="U67" s="125"/>
      <c r="V67" s="125"/>
      <c r="W67" s="125"/>
      <c r="X67" s="127" t="str">
        <f t="shared" ref="X67:X69" si="65">IFERROR(IF(AND(Q66="Probabilidad",Q67="Probabilidad"),(Z66-(+Z66*T67)),IF(AND(Q66="Impacto",Q67="Probabilidad"),(Z65-(+Z65*T67)),IF(Q67="Impacto",Z66,""))),"")</f>
        <v/>
      </c>
      <c r="Y67" s="128" t="str">
        <f t="shared" si="1"/>
        <v/>
      </c>
      <c r="Z67" s="129" t="str">
        <f t="shared" si="62"/>
        <v/>
      </c>
      <c r="AA67" s="128" t="str">
        <f t="shared" si="3"/>
        <v/>
      </c>
      <c r="AB67" s="129" t="str">
        <f t="shared" ref="AB67:AB69" si="66">IFERROR(IF(AND(Q66="Impacto",Q67="Impacto"),(AB66-(+AB66*T67)),IF(AND(Q66="Probabilidad",Q67="Impacto"),(AB65-(+AB65*T67)),IF(Q67="Probabilidad",AB66,""))),"")</f>
        <v/>
      </c>
      <c r="AC67" s="130"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1"/>
      <c r="AE67" s="132"/>
      <c r="AF67" s="132"/>
      <c r="AG67" s="133"/>
      <c r="AH67" s="134"/>
      <c r="AI67" s="134"/>
      <c r="AJ67" s="132"/>
      <c r="AK67" s="153"/>
    </row>
    <row r="68" spans="1:37" ht="151.5" hidden="1" customHeight="1" x14ac:dyDescent="0.3">
      <c r="A68" s="221"/>
      <c r="B68" s="215"/>
      <c r="C68" s="215"/>
      <c r="D68" s="224"/>
      <c r="E68" s="227"/>
      <c r="F68" s="215"/>
      <c r="G68" s="218"/>
      <c r="H68" s="212"/>
      <c r="I68" s="203"/>
      <c r="J68" s="209"/>
      <c r="K68" s="203">
        <f ca="1">IF(NOT(ISERROR(MATCH(J68,_xlfn.ANCHORARRAY(E79),0))),I81&amp;"Por favor no seleccionar los criterios de impacto",J68)</f>
        <v>0</v>
      </c>
      <c r="L68" s="212"/>
      <c r="M68" s="203"/>
      <c r="N68" s="206"/>
      <c r="O68" s="122">
        <v>5</v>
      </c>
      <c r="P68" s="123"/>
      <c r="Q68" s="124" t="str">
        <f t="shared" si="64"/>
        <v/>
      </c>
      <c r="R68" s="125"/>
      <c r="S68" s="125"/>
      <c r="T68" s="126" t="str">
        <f t="shared" si="61"/>
        <v/>
      </c>
      <c r="U68" s="125"/>
      <c r="V68" s="125"/>
      <c r="W68" s="125"/>
      <c r="X68" s="127" t="str">
        <f t="shared" si="65"/>
        <v/>
      </c>
      <c r="Y68" s="128" t="str">
        <f t="shared" si="1"/>
        <v/>
      </c>
      <c r="Z68" s="129" t="str">
        <f t="shared" si="62"/>
        <v/>
      </c>
      <c r="AA68" s="128" t="str">
        <f t="shared" si="3"/>
        <v/>
      </c>
      <c r="AB68" s="129" t="str">
        <f t="shared" si="66"/>
        <v/>
      </c>
      <c r="AC68" s="130" t="str">
        <f t="shared" ref="AC68:AC69" si="67">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1"/>
      <c r="AE68" s="132"/>
      <c r="AF68" s="132"/>
      <c r="AG68" s="133"/>
      <c r="AH68" s="134"/>
      <c r="AI68" s="134"/>
      <c r="AJ68" s="132"/>
      <c r="AK68" s="153"/>
    </row>
    <row r="69" spans="1:37" hidden="1" x14ac:dyDescent="0.3">
      <c r="A69" s="222"/>
      <c r="B69" s="216"/>
      <c r="C69" s="216"/>
      <c r="D69" s="225"/>
      <c r="E69" s="228"/>
      <c r="F69" s="216"/>
      <c r="G69" s="219"/>
      <c r="H69" s="213"/>
      <c r="I69" s="204"/>
      <c r="J69" s="210"/>
      <c r="K69" s="204">
        <f ca="1">IF(NOT(ISERROR(MATCH(J69,_xlfn.ANCHORARRAY(E80),0))),I82&amp;"Por favor no seleccionar los criterios de impacto",J69)</f>
        <v>0</v>
      </c>
      <c r="L69" s="213"/>
      <c r="M69" s="204"/>
      <c r="N69" s="207"/>
      <c r="O69" s="122">
        <v>6</v>
      </c>
      <c r="P69" s="123"/>
      <c r="Q69" s="124" t="str">
        <f t="shared" si="64"/>
        <v/>
      </c>
      <c r="R69" s="125"/>
      <c r="S69" s="125"/>
      <c r="T69" s="126" t="str">
        <f t="shared" si="61"/>
        <v/>
      </c>
      <c r="U69" s="125"/>
      <c r="V69" s="125"/>
      <c r="W69" s="125"/>
      <c r="X69" s="127" t="str">
        <f t="shared" si="65"/>
        <v/>
      </c>
      <c r="Y69" s="128" t="str">
        <f t="shared" si="1"/>
        <v/>
      </c>
      <c r="Z69" s="129" t="str">
        <f t="shared" si="62"/>
        <v/>
      </c>
      <c r="AA69" s="128" t="str">
        <f t="shared" si="3"/>
        <v/>
      </c>
      <c r="AB69" s="129" t="str">
        <f t="shared" si="66"/>
        <v/>
      </c>
      <c r="AC69" s="130" t="str">
        <f t="shared" si="67"/>
        <v/>
      </c>
      <c r="AD69" s="131"/>
      <c r="AE69" s="132"/>
      <c r="AF69" s="132"/>
      <c r="AG69" s="133"/>
      <c r="AH69" s="134"/>
      <c r="AI69" s="134"/>
      <c r="AJ69" s="132"/>
      <c r="AK69" s="153"/>
    </row>
    <row r="70" spans="1:37" ht="49.5" customHeight="1" x14ac:dyDescent="0.3">
      <c r="A70" s="6"/>
      <c r="B70" s="199" t="s">
        <v>130</v>
      </c>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1"/>
    </row>
    <row r="72" spans="1:37" x14ac:dyDescent="0.3">
      <c r="A72" s="1"/>
      <c r="B72" s="23" t="s">
        <v>142</v>
      </c>
      <c r="C72" s="1"/>
      <c r="D72" s="3"/>
      <c r="F72" s="1"/>
    </row>
  </sheetData>
  <sheetProtection algorithmName="SHA-512" hashValue="BoyosvEIA+6vqLEdq2yiiCZoL/1OGf9lpBeaL2UOV7kDG5AFIkgnkItg5jg4iJjCiJJ9jpfvR2cMZr7Dpvg8DA==" saltValue="CzNE+ovn6S+4LTWYt3oFDA==" spinCount="100000" sheet="1" objects="1" scenarios="1" selectLockedCells="1" selectUnlockedCells="1"/>
  <dataConsolidate/>
  <mergeCells count="197">
    <mergeCell ref="A10:A15"/>
    <mergeCell ref="B10:B15"/>
    <mergeCell ref="C10:C15"/>
    <mergeCell ref="D10:D15"/>
    <mergeCell ref="E10:E15"/>
    <mergeCell ref="N10:N15"/>
    <mergeCell ref="I10:I15"/>
    <mergeCell ref="AO7:AQ7"/>
    <mergeCell ref="AO8:AO9"/>
    <mergeCell ref="AP8:AP9"/>
    <mergeCell ref="AQ8:AQ9"/>
    <mergeCell ref="AM8:AM9"/>
    <mergeCell ref="AN8:AN9"/>
    <mergeCell ref="AL7:AN7"/>
    <mergeCell ref="AL8:AL9"/>
    <mergeCell ref="J10:J15"/>
    <mergeCell ref="K10:K15"/>
    <mergeCell ref="L10:L15"/>
    <mergeCell ref="M10:M15"/>
    <mergeCell ref="C8:C9"/>
    <mergeCell ref="P8:P9"/>
    <mergeCell ref="M8:M9"/>
    <mergeCell ref="B8:B9"/>
    <mergeCell ref="N8:N9"/>
    <mergeCell ref="AE7:AK7"/>
    <mergeCell ref="AA8:AA9"/>
    <mergeCell ref="Y8:Y9"/>
    <mergeCell ref="Z8:Z9"/>
    <mergeCell ref="G8:G9"/>
    <mergeCell ref="H8:H9"/>
    <mergeCell ref="I8:I9"/>
    <mergeCell ref="L8:L9"/>
    <mergeCell ref="E1:AI1"/>
    <mergeCell ref="AJ1:AK1"/>
    <mergeCell ref="E2:AI2"/>
    <mergeCell ref="AJ2:AK2"/>
    <mergeCell ref="C4:AK4"/>
    <mergeCell ref="C5:AK5"/>
    <mergeCell ref="C6:AK6"/>
    <mergeCell ref="E8:E9"/>
    <mergeCell ref="D8:D9"/>
    <mergeCell ref="AD8:AD9"/>
    <mergeCell ref="O8:O9"/>
    <mergeCell ref="AC8:AC9"/>
    <mergeCell ref="AB8:AB9"/>
    <mergeCell ref="X8:X9"/>
    <mergeCell ref="A1:D2"/>
    <mergeCell ref="A7:G7"/>
    <mergeCell ref="H7:N7"/>
    <mergeCell ref="O7:W7"/>
    <mergeCell ref="X7:AD7"/>
    <mergeCell ref="A4:B4"/>
    <mergeCell ref="A5:B5"/>
    <mergeCell ref="A6:B6"/>
    <mergeCell ref="A8:A9"/>
    <mergeCell ref="AE8:AE9"/>
    <mergeCell ref="AK8:AK9"/>
    <mergeCell ref="AJ8:AJ9"/>
    <mergeCell ref="AI8:AI9"/>
    <mergeCell ref="AH8:AH9"/>
    <mergeCell ref="AG8:AG9"/>
    <mergeCell ref="K16:K21"/>
    <mergeCell ref="L16:L21"/>
    <mergeCell ref="M16:M21"/>
    <mergeCell ref="N16:N21"/>
    <mergeCell ref="AF8:AF9"/>
    <mergeCell ref="J8:J9"/>
    <mergeCell ref="K8:K9"/>
    <mergeCell ref="Q8:Q9"/>
    <mergeCell ref="R8:W8"/>
    <mergeCell ref="F16:F21"/>
    <mergeCell ref="G16:G21"/>
    <mergeCell ref="H16:H21"/>
    <mergeCell ref="I16:I21"/>
    <mergeCell ref="J16:J21"/>
    <mergeCell ref="F10:F15"/>
    <mergeCell ref="G10:G15"/>
    <mergeCell ref="H10:H15"/>
    <mergeCell ref="F8:F9"/>
    <mergeCell ref="A16:A21"/>
    <mergeCell ref="B16:B21"/>
    <mergeCell ref="C16:C21"/>
    <mergeCell ref="A22:A27"/>
    <mergeCell ref="B22:B27"/>
    <mergeCell ref="C22:C27"/>
    <mergeCell ref="D22:D27"/>
    <mergeCell ref="E22:E27"/>
    <mergeCell ref="F22:F27"/>
    <mergeCell ref="D16:D21"/>
    <mergeCell ref="E16:E21"/>
    <mergeCell ref="G22:G27"/>
    <mergeCell ref="H22:H27"/>
    <mergeCell ref="I22:I27"/>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J22:J27"/>
    <mergeCell ref="K22:K27"/>
    <mergeCell ref="L22:L27"/>
    <mergeCell ref="M34:M39"/>
    <mergeCell ref="N34:N39"/>
    <mergeCell ref="M40:M45"/>
    <mergeCell ref="N40:N45"/>
    <mergeCell ref="J40:J45"/>
    <mergeCell ref="K40:K45"/>
    <mergeCell ref="L40:L45"/>
    <mergeCell ref="L34:L39"/>
    <mergeCell ref="F34:F39"/>
    <mergeCell ref="G34:G39"/>
    <mergeCell ref="H34:H39"/>
    <mergeCell ref="I34:I39"/>
    <mergeCell ref="J34:J39"/>
    <mergeCell ref="G40:G45"/>
    <mergeCell ref="H40:H45"/>
    <mergeCell ref="I40:I45"/>
    <mergeCell ref="K34:K39"/>
    <mergeCell ref="K46:K51"/>
    <mergeCell ref="L46:L51"/>
    <mergeCell ref="I52:I57"/>
    <mergeCell ref="A34:A39"/>
    <mergeCell ref="B34:B39"/>
    <mergeCell ref="C34:C39"/>
    <mergeCell ref="A40:A45"/>
    <mergeCell ref="B40:B45"/>
    <mergeCell ref="C40:C45"/>
    <mergeCell ref="D40:D45"/>
    <mergeCell ref="E40:E45"/>
    <mergeCell ref="A52:A57"/>
    <mergeCell ref="B52:B57"/>
    <mergeCell ref="C52:C57"/>
    <mergeCell ref="D52:D57"/>
    <mergeCell ref="E52:E57"/>
    <mergeCell ref="A46:A51"/>
    <mergeCell ref="B46:B51"/>
    <mergeCell ref="C46:C51"/>
    <mergeCell ref="D46:D51"/>
    <mergeCell ref="E46:E51"/>
    <mergeCell ref="F40:F45"/>
    <mergeCell ref="D34:D39"/>
    <mergeCell ref="E34:E39"/>
    <mergeCell ref="A64:A69"/>
    <mergeCell ref="B64:B69"/>
    <mergeCell ref="C64:C69"/>
    <mergeCell ref="D64:D69"/>
    <mergeCell ref="E64:E69"/>
    <mergeCell ref="F64:F69"/>
    <mergeCell ref="G64:G69"/>
    <mergeCell ref="H64:H69"/>
    <mergeCell ref="I64:I69"/>
    <mergeCell ref="M46:M51"/>
    <mergeCell ref="N46:N51"/>
    <mergeCell ref="F52:F57"/>
    <mergeCell ref="G52:G57"/>
    <mergeCell ref="H52:H57"/>
    <mergeCell ref="A58:A63"/>
    <mergeCell ref="B58:B63"/>
    <mergeCell ref="C58:C63"/>
    <mergeCell ref="D58:D63"/>
    <mergeCell ref="E58:E63"/>
    <mergeCell ref="F58:F63"/>
    <mergeCell ref="G58:G63"/>
    <mergeCell ref="H58:H63"/>
    <mergeCell ref="I58:I63"/>
    <mergeCell ref="J52:J57"/>
    <mergeCell ref="F46:F51"/>
    <mergeCell ref="G46:G51"/>
    <mergeCell ref="H46:H51"/>
    <mergeCell ref="I46:I51"/>
    <mergeCell ref="K52:K57"/>
    <mergeCell ref="L52:L57"/>
    <mergeCell ref="M52:M57"/>
    <mergeCell ref="N52:N57"/>
    <mergeCell ref="J46:J51"/>
    <mergeCell ref="B70:AK70"/>
    <mergeCell ref="M58:M63"/>
    <mergeCell ref="N58:N63"/>
    <mergeCell ref="J64:J69"/>
    <mergeCell ref="K64:K69"/>
    <mergeCell ref="L64:L69"/>
    <mergeCell ref="M64:M69"/>
    <mergeCell ref="N64:N69"/>
    <mergeCell ref="J58:J63"/>
    <mergeCell ref="K58:K63"/>
    <mergeCell ref="L58:L63"/>
  </mergeCells>
  <conditionalFormatting sqref="H10 H16">
    <cfRule type="cellIs" dxfId="108" priority="319" operator="equal">
      <formula>"Muy Alta"</formula>
    </cfRule>
    <cfRule type="cellIs" dxfId="107" priority="320" operator="equal">
      <formula>"Alta"</formula>
    </cfRule>
    <cfRule type="cellIs" dxfId="106" priority="321" operator="equal">
      <formula>"Media"</formula>
    </cfRule>
    <cfRule type="cellIs" dxfId="105" priority="322" operator="equal">
      <formula>"Baja"</formula>
    </cfRule>
    <cfRule type="cellIs" dxfId="104" priority="323" operator="equal">
      <formula>"Muy Baja"</formula>
    </cfRule>
  </conditionalFormatting>
  <conditionalFormatting sqref="H22">
    <cfRule type="cellIs" dxfId="103" priority="221" operator="equal">
      <formula>"Muy Alta"</formula>
    </cfRule>
    <cfRule type="cellIs" dxfId="102" priority="222" operator="equal">
      <formula>"Alta"</formula>
    </cfRule>
    <cfRule type="cellIs" dxfId="101" priority="223" operator="equal">
      <formula>"Media"</formula>
    </cfRule>
    <cfRule type="cellIs" dxfId="100" priority="224" operator="equal">
      <formula>"Baja"</formula>
    </cfRule>
    <cfRule type="cellIs" dxfId="99" priority="225" operator="equal">
      <formula>"Muy Baja"</formula>
    </cfRule>
  </conditionalFormatting>
  <conditionalFormatting sqref="H28">
    <cfRule type="cellIs" dxfId="98" priority="193" operator="equal">
      <formula>"Muy Alta"</formula>
    </cfRule>
    <cfRule type="cellIs" dxfId="97" priority="194" operator="equal">
      <formula>"Alta"</formula>
    </cfRule>
    <cfRule type="cellIs" dxfId="96" priority="195" operator="equal">
      <formula>"Media"</formula>
    </cfRule>
    <cfRule type="cellIs" dxfId="95" priority="196" operator="equal">
      <formula>"Baja"</formula>
    </cfRule>
    <cfRule type="cellIs" dxfId="94" priority="197" operator="equal">
      <formula>"Muy Baja"</formula>
    </cfRule>
  </conditionalFormatting>
  <conditionalFormatting sqref="H34">
    <cfRule type="cellIs" dxfId="93" priority="165" operator="equal">
      <formula>"Muy Alta"</formula>
    </cfRule>
    <cfRule type="cellIs" dxfId="92" priority="166" operator="equal">
      <formula>"Alta"</formula>
    </cfRule>
    <cfRule type="cellIs" dxfId="91" priority="167" operator="equal">
      <formula>"Media"</formula>
    </cfRule>
    <cfRule type="cellIs" dxfId="90" priority="168" operator="equal">
      <formula>"Baja"</formula>
    </cfRule>
    <cfRule type="cellIs" dxfId="89" priority="169" operator="equal">
      <formula>"Muy Baja"</formula>
    </cfRule>
  </conditionalFormatting>
  <conditionalFormatting sqref="H40">
    <cfRule type="cellIs" dxfId="88" priority="137" operator="equal">
      <formula>"Muy Alta"</formula>
    </cfRule>
    <cfRule type="cellIs" dxfId="87" priority="138" operator="equal">
      <formula>"Alta"</formula>
    </cfRule>
    <cfRule type="cellIs" dxfId="86" priority="139" operator="equal">
      <formula>"Media"</formula>
    </cfRule>
    <cfRule type="cellIs" dxfId="85" priority="140" operator="equal">
      <formula>"Baja"</formula>
    </cfRule>
    <cfRule type="cellIs" dxfId="84" priority="141" operator="equal">
      <formula>"Muy Baja"</formula>
    </cfRule>
  </conditionalFormatting>
  <conditionalFormatting sqref="H46">
    <cfRule type="cellIs" dxfId="83" priority="109" operator="equal">
      <formula>"Muy Alta"</formula>
    </cfRule>
    <cfRule type="cellIs" dxfId="82" priority="110" operator="equal">
      <formula>"Alta"</formula>
    </cfRule>
    <cfRule type="cellIs" dxfId="81" priority="111" operator="equal">
      <formula>"Media"</formula>
    </cfRule>
    <cfRule type="cellIs" dxfId="80" priority="112" operator="equal">
      <formula>"Baja"</formula>
    </cfRule>
    <cfRule type="cellIs" dxfId="79" priority="113" operator="equal">
      <formula>"Muy Baja"</formula>
    </cfRule>
  </conditionalFormatting>
  <conditionalFormatting sqref="H52">
    <cfRule type="cellIs" dxfId="78" priority="81" operator="equal">
      <formula>"Muy Alta"</formula>
    </cfRule>
    <cfRule type="cellIs" dxfId="77" priority="82" operator="equal">
      <formula>"Alta"</formula>
    </cfRule>
    <cfRule type="cellIs" dxfId="76" priority="83" operator="equal">
      <formula>"Media"</formula>
    </cfRule>
    <cfRule type="cellIs" dxfId="75" priority="84" operator="equal">
      <formula>"Baja"</formula>
    </cfRule>
    <cfRule type="cellIs" dxfId="74" priority="85" operator="equal">
      <formula>"Muy Baja"</formula>
    </cfRule>
  </conditionalFormatting>
  <conditionalFormatting sqref="H58">
    <cfRule type="cellIs" dxfId="73" priority="53" operator="equal">
      <formula>"Muy Alta"</formula>
    </cfRule>
    <cfRule type="cellIs" dxfId="72" priority="54" operator="equal">
      <formula>"Alta"</formula>
    </cfRule>
    <cfRule type="cellIs" dxfId="71" priority="55" operator="equal">
      <formula>"Media"</formula>
    </cfRule>
    <cfRule type="cellIs" dxfId="70" priority="56" operator="equal">
      <formula>"Baja"</formula>
    </cfRule>
    <cfRule type="cellIs" dxfId="69" priority="57" operator="equal">
      <formula>"Muy Baja"</formula>
    </cfRule>
  </conditionalFormatting>
  <conditionalFormatting sqref="H64">
    <cfRule type="cellIs" dxfId="68" priority="25" operator="equal">
      <formula>"Muy Alta"</formula>
    </cfRule>
    <cfRule type="cellIs" dxfId="67" priority="26" operator="equal">
      <formula>"Alta"</formula>
    </cfRule>
    <cfRule type="cellIs" dxfId="66" priority="27" operator="equal">
      <formula>"Media"</formula>
    </cfRule>
    <cfRule type="cellIs" dxfId="65" priority="28" operator="equal">
      <formula>"Baja"</formula>
    </cfRule>
    <cfRule type="cellIs" dxfId="64" priority="29" operator="equal">
      <formula>"Muy Baja"</formula>
    </cfRule>
  </conditionalFormatting>
  <conditionalFormatting sqref="K10:K69">
    <cfRule type="containsText" dxfId="63" priority="1" operator="containsText" text="❌">
      <formula>NOT(ISERROR(SEARCH("❌",K10)))</formula>
    </cfRule>
  </conditionalFormatting>
  <conditionalFormatting sqref="L10 L16 L22 L28 L34 L40 L46 L52 L58 L64">
    <cfRule type="cellIs" dxfId="62" priority="314" operator="equal">
      <formula>"Catastrófico"</formula>
    </cfRule>
    <cfRule type="cellIs" dxfId="61" priority="315" operator="equal">
      <formula>"Mayor"</formula>
    </cfRule>
    <cfRule type="cellIs" dxfId="60" priority="316" operator="equal">
      <formula>"Moderado"</formula>
    </cfRule>
    <cfRule type="cellIs" dxfId="59" priority="317" operator="equal">
      <formula>"Menor"</formula>
    </cfRule>
    <cfRule type="cellIs" dxfId="58" priority="318" operator="equal">
      <formula>"Leve"</formula>
    </cfRule>
  </conditionalFormatting>
  <conditionalFormatting sqref="N10">
    <cfRule type="cellIs" dxfId="57" priority="310" operator="equal">
      <formula>"Extremo"</formula>
    </cfRule>
    <cfRule type="cellIs" dxfId="56" priority="311" operator="equal">
      <formula>"Alto"</formula>
    </cfRule>
    <cfRule type="cellIs" dxfId="55" priority="312" operator="equal">
      <formula>"Moderado"</formula>
    </cfRule>
    <cfRule type="cellIs" dxfId="54" priority="313" operator="equal">
      <formula>"Bajo"</formula>
    </cfRule>
  </conditionalFormatting>
  <conditionalFormatting sqref="N16">
    <cfRule type="cellIs" dxfId="53" priority="240" operator="equal">
      <formula>"Extremo"</formula>
    </cfRule>
    <cfRule type="cellIs" dxfId="52" priority="241" operator="equal">
      <formula>"Alto"</formula>
    </cfRule>
    <cfRule type="cellIs" dxfId="51" priority="242" operator="equal">
      <formula>"Moderado"</formula>
    </cfRule>
    <cfRule type="cellIs" dxfId="50" priority="243" operator="equal">
      <formula>"Bajo"</formula>
    </cfRule>
  </conditionalFormatting>
  <conditionalFormatting sqref="N22">
    <cfRule type="cellIs" dxfId="49" priority="212" operator="equal">
      <formula>"Extremo"</formula>
    </cfRule>
    <cfRule type="cellIs" dxfId="48" priority="213" operator="equal">
      <formula>"Alto"</formula>
    </cfRule>
    <cfRule type="cellIs" dxfId="47" priority="214" operator="equal">
      <formula>"Moderado"</formula>
    </cfRule>
    <cfRule type="cellIs" dxfId="46" priority="215" operator="equal">
      <formula>"Bajo"</formula>
    </cfRule>
  </conditionalFormatting>
  <conditionalFormatting sqref="N28">
    <cfRule type="cellIs" dxfId="45" priority="184" operator="equal">
      <formula>"Extremo"</formula>
    </cfRule>
    <cfRule type="cellIs" dxfId="44" priority="185" operator="equal">
      <formula>"Alto"</formula>
    </cfRule>
    <cfRule type="cellIs" dxfId="43" priority="186" operator="equal">
      <formula>"Moderado"</formula>
    </cfRule>
    <cfRule type="cellIs" dxfId="42" priority="187" operator="equal">
      <formula>"Bajo"</formula>
    </cfRule>
  </conditionalFormatting>
  <conditionalFormatting sqref="N34">
    <cfRule type="cellIs" dxfId="41" priority="156" operator="equal">
      <formula>"Extremo"</formula>
    </cfRule>
    <cfRule type="cellIs" dxfId="40" priority="157" operator="equal">
      <formula>"Alto"</formula>
    </cfRule>
    <cfRule type="cellIs" dxfId="39" priority="158" operator="equal">
      <formula>"Moderado"</formula>
    </cfRule>
    <cfRule type="cellIs" dxfId="38" priority="159" operator="equal">
      <formula>"Bajo"</formula>
    </cfRule>
  </conditionalFormatting>
  <conditionalFormatting sqref="N40">
    <cfRule type="cellIs" dxfId="37" priority="128" operator="equal">
      <formula>"Extremo"</formula>
    </cfRule>
    <cfRule type="cellIs" dxfId="36" priority="129" operator="equal">
      <formula>"Alto"</formula>
    </cfRule>
    <cfRule type="cellIs" dxfId="35" priority="130" operator="equal">
      <formula>"Moderado"</formula>
    </cfRule>
    <cfRule type="cellIs" dxfId="34" priority="131" operator="equal">
      <formula>"Bajo"</formula>
    </cfRule>
  </conditionalFormatting>
  <conditionalFormatting sqref="N46">
    <cfRule type="cellIs" dxfId="33" priority="100" operator="equal">
      <formula>"Extremo"</formula>
    </cfRule>
    <cfRule type="cellIs" dxfId="32" priority="101" operator="equal">
      <formula>"Alto"</formula>
    </cfRule>
    <cfRule type="cellIs" dxfId="31" priority="102" operator="equal">
      <formula>"Moderado"</formula>
    </cfRule>
    <cfRule type="cellIs" dxfId="30" priority="103" operator="equal">
      <formula>"Bajo"</formula>
    </cfRule>
  </conditionalFormatting>
  <conditionalFormatting sqref="N52">
    <cfRule type="cellIs" dxfId="29" priority="72" operator="equal">
      <formula>"Extremo"</formula>
    </cfRule>
    <cfRule type="cellIs" dxfId="28" priority="73" operator="equal">
      <formula>"Alto"</formula>
    </cfRule>
    <cfRule type="cellIs" dxfId="27" priority="74" operator="equal">
      <formula>"Moderado"</formula>
    </cfRule>
    <cfRule type="cellIs" dxfId="26" priority="75" operator="equal">
      <formula>"Bajo"</formula>
    </cfRule>
  </conditionalFormatting>
  <conditionalFormatting sqref="N58">
    <cfRule type="cellIs" dxfId="25" priority="44" operator="equal">
      <formula>"Extremo"</formula>
    </cfRule>
    <cfRule type="cellIs" dxfId="24" priority="45" operator="equal">
      <formula>"Alto"</formula>
    </cfRule>
    <cfRule type="cellIs" dxfId="23" priority="46" operator="equal">
      <formula>"Moderado"</formula>
    </cfRule>
    <cfRule type="cellIs" dxfId="22" priority="47" operator="equal">
      <formula>"Bajo"</formula>
    </cfRule>
  </conditionalFormatting>
  <conditionalFormatting sqref="N64">
    <cfRule type="cellIs" dxfId="21" priority="16" operator="equal">
      <formula>"Extremo"</formula>
    </cfRule>
    <cfRule type="cellIs" dxfId="20" priority="17" operator="equal">
      <formula>"Alto"</formula>
    </cfRule>
    <cfRule type="cellIs" dxfId="19" priority="18" operator="equal">
      <formula>"Moderado"</formula>
    </cfRule>
    <cfRule type="cellIs" dxfId="18" priority="19" operator="equal">
      <formula>"Bajo"</formula>
    </cfRule>
  </conditionalFormatting>
  <conditionalFormatting sqref="Y10:Y69">
    <cfRule type="cellIs" dxfId="17" priority="11" operator="equal">
      <formula>"Muy Alta"</formula>
    </cfRule>
    <cfRule type="cellIs" dxfId="16" priority="12" operator="equal">
      <formula>"Alta"</formula>
    </cfRule>
    <cfRule type="cellIs" dxfId="15" priority="13" operator="equal">
      <formula>"Media"</formula>
    </cfRule>
    <cfRule type="cellIs" dxfId="14" priority="14" operator="equal">
      <formula>"Baja"</formula>
    </cfRule>
    <cfRule type="cellIs" dxfId="13" priority="15" operator="equal">
      <formula>"Muy Baja"</formula>
    </cfRule>
  </conditionalFormatting>
  <conditionalFormatting sqref="AA10:AA69">
    <cfRule type="cellIs" dxfId="12" priority="6" operator="equal">
      <formula>"Catastrófico"</formula>
    </cfRule>
    <cfRule type="cellIs" dxfId="11" priority="7" operator="equal">
      <formula>"Mayor"</formula>
    </cfRule>
    <cfRule type="cellIs" dxfId="10" priority="8" operator="equal">
      <formula>"Moderado"</formula>
    </cfRule>
    <cfRule type="cellIs" dxfId="9" priority="9" operator="equal">
      <formula>"Menor"</formula>
    </cfRule>
    <cfRule type="cellIs" dxfId="8" priority="10" operator="equal">
      <formula>"Leve"</formula>
    </cfRule>
  </conditionalFormatting>
  <conditionalFormatting sqref="AC10:AC69">
    <cfRule type="cellIs" dxfId="7" priority="2" operator="equal">
      <formula>"Extremo"</formula>
    </cfRule>
    <cfRule type="cellIs" dxfId="6" priority="3" operator="equal">
      <formula>"Alto"</formula>
    </cfRule>
    <cfRule type="cellIs" dxfId="5" priority="4" operator="equal">
      <formula>"Moderado"</formula>
    </cfRule>
    <cfRule type="cellIs" dxfId="4" priority="5" operator="equal">
      <formula>"Bajo"</formula>
    </cfRule>
  </conditionalFormatting>
  <dataValidations count="2">
    <dataValidation showInputMessage="1" showErrorMessage="1" error="Recuerde que las acciones se generan bajo la medida de mitigar el riesgo" sqref="AG22:AG23 AG28 AG10:AG16"/>
    <dataValidation allowBlank="1" showInputMessage="1" showErrorMessage="1" error="Recuerde que las acciones se generan bajo la medida de mitigar el riesgo" sqref="AH10:AI28 AG24:AG27 AG17:AG21 AE10:AF28"/>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AK10:AK14 AK16:AK17 AK19:AK20 AK22:AK23 AK25:AK26 AK28:AK29 AK31:AK32 AK34:AK35 AK37:AK38 AK40:AK41 AK43:AK44 AK46:AK47 AK49:AK50 AK52:AK53 AK55:AK56 AK58:AK59 AK61:AK62 AK64:AK65 AK67:AK68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AE29:AF69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AG29:AG69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AH29:AH69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AI29:AI69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AJ10:AJ69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RowHeight="15" x14ac:dyDescent="0.25"/>
  <cols>
    <col min="2" max="39" width="5.5703125" customWidth="1"/>
    <col min="41" max="46" width="5.570312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67" t="s">
        <v>159</v>
      </c>
      <c r="C2" s="367"/>
      <c r="D2" s="367"/>
      <c r="E2" s="367"/>
      <c r="F2" s="367"/>
      <c r="G2" s="367"/>
      <c r="H2" s="367"/>
      <c r="I2" s="367"/>
      <c r="J2" s="335" t="s">
        <v>2</v>
      </c>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67"/>
      <c r="C3" s="367"/>
      <c r="D3" s="367"/>
      <c r="E3" s="367"/>
      <c r="F3" s="367"/>
      <c r="G3" s="367"/>
      <c r="H3" s="367"/>
      <c r="I3" s="367"/>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67"/>
      <c r="C4" s="367"/>
      <c r="D4" s="367"/>
      <c r="E4" s="367"/>
      <c r="F4" s="367"/>
      <c r="G4" s="367"/>
      <c r="H4" s="367"/>
      <c r="I4" s="367"/>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282" t="s">
        <v>4</v>
      </c>
      <c r="C6" s="282"/>
      <c r="D6" s="283"/>
      <c r="E6" s="320" t="s">
        <v>115</v>
      </c>
      <c r="F6" s="321"/>
      <c r="G6" s="321"/>
      <c r="H6" s="321"/>
      <c r="I6" s="322"/>
      <c r="J6" s="331" t="str">
        <f>IF(AND('Mapa final'!$H$10="Muy Alta",'Mapa final'!$L$10="Leve"),CONCATENATE("R",'Mapa final'!$A$10),"")</f>
        <v/>
      </c>
      <c r="K6" s="332"/>
      <c r="L6" s="332" t="str">
        <f>IF(AND('Mapa final'!$H$16="Muy Alta",'Mapa final'!$L$16="Leve"),CONCATENATE("R",'Mapa final'!$A$16),"")</f>
        <v/>
      </c>
      <c r="M6" s="332"/>
      <c r="N6" s="332" t="str">
        <f>IF(AND('Mapa final'!$H$22="Muy Alta",'Mapa final'!$L$22="Leve"),CONCATENATE("R",'Mapa final'!$A$22),"")</f>
        <v/>
      </c>
      <c r="O6" s="334"/>
      <c r="P6" s="331" t="str">
        <f>IF(AND('Mapa final'!$H$10="Muy Alta",'Mapa final'!$L$10="Menor"),CONCATENATE("R",'Mapa final'!$A$10),"")</f>
        <v/>
      </c>
      <c r="Q6" s="332"/>
      <c r="R6" s="332" t="str">
        <f>IF(AND('Mapa final'!$H$16="Muy Alta",'Mapa final'!$L$16="Menor"),CONCATENATE("R",'Mapa final'!$A$16),"")</f>
        <v/>
      </c>
      <c r="S6" s="332"/>
      <c r="T6" s="332" t="str">
        <f>IF(AND('Mapa final'!$H$22="Muy Alta",'Mapa final'!$L$22="Menor"),CONCATENATE("R",'Mapa final'!$A$22),"")</f>
        <v/>
      </c>
      <c r="U6" s="334"/>
      <c r="V6" s="331" t="str">
        <f>IF(AND('Mapa final'!$H$10="Muy Alta",'Mapa final'!$L$10="Moderado"),CONCATENATE("R",'Mapa final'!$A$10),"")</f>
        <v/>
      </c>
      <c r="W6" s="332"/>
      <c r="X6" s="332" t="str">
        <f>IF(AND('Mapa final'!$H$16="Muy Alta",'Mapa final'!$L$16="Moderado"),CONCATENATE("R",'Mapa final'!$A$16),"")</f>
        <v/>
      </c>
      <c r="Y6" s="332"/>
      <c r="Z6" s="332" t="str">
        <f>IF(AND('Mapa final'!$H$22="Muy Alta",'Mapa final'!$L$22="Moderado"),CONCATENATE("R",'Mapa final'!$A$22),"")</f>
        <v/>
      </c>
      <c r="AA6" s="334"/>
      <c r="AB6" s="331" t="str">
        <f>IF(AND('Mapa final'!$H$10="Muy Alta",'Mapa final'!$L$10="Mayor"),CONCATENATE("R",'Mapa final'!$A$10),"")</f>
        <v/>
      </c>
      <c r="AC6" s="332"/>
      <c r="AD6" s="332" t="str">
        <f>IF(AND('Mapa final'!$H$16="Muy Alta",'Mapa final'!$L$16="Mayor"),CONCATENATE("R",'Mapa final'!$A$16),"")</f>
        <v/>
      </c>
      <c r="AE6" s="332"/>
      <c r="AF6" s="332" t="str">
        <f>IF(AND('Mapa final'!$H$22="Muy Alta",'Mapa final'!$L$22="Mayor"),CONCATENATE("R",'Mapa final'!$A$22),"")</f>
        <v/>
      </c>
      <c r="AG6" s="334"/>
      <c r="AH6" s="346" t="str">
        <f>IF(AND('Mapa final'!$H$10="Muy Alta",'Mapa final'!$L$10="Catastrófico"),CONCATENATE("R",'Mapa final'!$A$10),"")</f>
        <v/>
      </c>
      <c r="AI6" s="347"/>
      <c r="AJ6" s="347" t="str">
        <f>IF(AND('Mapa final'!$H$16="Muy Alta",'Mapa final'!$L$16="Catastrófico"),CONCATENATE("R",'Mapa final'!$A$16),"")</f>
        <v/>
      </c>
      <c r="AK6" s="347"/>
      <c r="AL6" s="347" t="str">
        <f>IF(AND('Mapa final'!$H$22="Muy Alta",'Mapa final'!$L$22="Catastrófico"),CONCATENATE("R",'Mapa final'!$A$22),"")</f>
        <v/>
      </c>
      <c r="AM6" s="348"/>
      <c r="AO6" s="284" t="s">
        <v>78</v>
      </c>
      <c r="AP6" s="285"/>
      <c r="AQ6" s="285"/>
      <c r="AR6" s="285"/>
      <c r="AS6" s="285"/>
      <c r="AT6" s="286"/>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282"/>
      <c r="C7" s="282"/>
      <c r="D7" s="283"/>
      <c r="E7" s="323"/>
      <c r="F7" s="324"/>
      <c r="G7" s="324"/>
      <c r="H7" s="324"/>
      <c r="I7" s="325"/>
      <c r="J7" s="333"/>
      <c r="K7" s="329"/>
      <c r="L7" s="329"/>
      <c r="M7" s="329"/>
      <c r="N7" s="329"/>
      <c r="O7" s="330"/>
      <c r="P7" s="333"/>
      <c r="Q7" s="329"/>
      <c r="R7" s="329"/>
      <c r="S7" s="329"/>
      <c r="T7" s="329"/>
      <c r="U7" s="330"/>
      <c r="V7" s="333"/>
      <c r="W7" s="329"/>
      <c r="X7" s="329"/>
      <c r="Y7" s="329"/>
      <c r="Z7" s="329"/>
      <c r="AA7" s="330"/>
      <c r="AB7" s="333"/>
      <c r="AC7" s="329"/>
      <c r="AD7" s="329"/>
      <c r="AE7" s="329"/>
      <c r="AF7" s="329"/>
      <c r="AG7" s="330"/>
      <c r="AH7" s="340"/>
      <c r="AI7" s="341"/>
      <c r="AJ7" s="341"/>
      <c r="AK7" s="341"/>
      <c r="AL7" s="341"/>
      <c r="AM7" s="342"/>
      <c r="AN7" s="82"/>
      <c r="AO7" s="287"/>
      <c r="AP7" s="288"/>
      <c r="AQ7" s="288"/>
      <c r="AR7" s="288"/>
      <c r="AS7" s="288"/>
      <c r="AT7" s="289"/>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282"/>
      <c r="C8" s="282"/>
      <c r="D8" s="283"/>
      <c r="E8" s="323"/>
      <c r="F8" s="324"/>
      <c r="G8" s="324"/>
      <c r="H8" s="324"/>
      <c r="I8" s="325"/>
      <c r="J8" s="333" t="str">
        <f>IF(AND('Mapa final'!$H$28="Muy Alta",'Mapa final'!$L$28="Leve"),CONCATENATE("R",'Mapa final'!$A$28),"")</f>
        <v/>
      </c>
      <c r="K8" s="329"/>
      <c r="L8" s="329" t="str">
        <f>IF(AND('Mapa final'!$H$34="Muy Alta",'Mapa final'!$L$34="Leve"),CONCATENATE("R",'Mapa final'!$A$34),"")</f>
        <v/>
      </c>
      <c r="M8" s="329"/>
      <c r="N8" s="329" t="str">
        <f>IF(AND('Mapa final'!$H$40="Muy Alta",'Mapa final'!$L$40="Leve"),CONCATENATE("R",'Mapa final'!$A$40),"")</f>
        <v/>
      </c>
      <c r="O8" s="330"/>
      <c r="P8" s="333" t="str">
        <f>IF(AND('Mapa final'!$H$28="Muy Alta",'Mapa final'!$L$28="Menor"),CONCATENATE("R",'Mapa final'!$A$28),"")</f>
        <v/>
      </c>
      <c r="Q8" s="329"/>
      <c r="R8" s="329" t="str">
        <f>IF(AND('Mapa final'!$H$34="Muy Alta",'Mapa final'!$L$34="Menor"),CONCATENATE("R",'Mapa final'!$A$34),"")</f>
        <v/>
      </c>
      <c r="S8" s="329"/>
      <c r="T8" s="329" t="str">
        <f>IF(AND('Mapa final'!$H$40="Muy Alta",'Mapa final'!$L$40="Menor"),CONCATENATE("R",'Mapa final'!$A$40),"")</f>
        <v/>
      </c>
      <c r="U8" s="330"/>
      <c r="V8" s="333" t="str">
        <f>IF(AND('Mapa final'!$H$28="Muy Alta",'Mapa final'!$L$28="Moderado"),CONCATENATE("R",'Mapa final'!$A$28),"")</f>
        <v/>
      </c>
      <c r="W8" s="329"/>
      <c r="X8" s="329" t="str">
        <f>IF(AND('Mapa final'!$H$34="Muy Alta",'Mapa final'!$L$34="Moderado"),CONCATENATE("R",'Mapa final'!$A$34),"")</f>
        <v/>
      </c>
      <c r="Y8" s="329"/>
      <c r="Z8" s="329" t="str">
        <f>IF(AND('Mapa final'!$H$40="Muy Alta",'Mapa final'!$L$40="Moderado"),CONCATENATE("R",'Mapa final'!$A$40),"")</f>
        <v/>
      </c>
      <c r="AA8" s="330"/>
      <c r="AB8" s="333" t="str">
        <f>IF(AND('Mapa final'!$H$28="Muy Alta",'Mapa final'!$L$28="Mayor"),CONCATENATE("R",'Mapa final'!$A$28),"")</f>
        <v/>
      </c>
      <c r="AC8" s="329"/>
      <c r="AD8" s="329" t="str">
        <f>IF(AND('Mapa final'!$H$34="Muy Alta",'Mapa final'!$L$34="Mayor"),CONCATENATE("R",'Mapa final'!$A$34),"")</f>
        <v/>
      </c>
      <c r="AE8" s="329"/>
      <c r="AF8" s="329" t="str">
        <f>IF(AND('Mapa final'!$H$40="Muy Alta",'Mapa final'!$L$40="Mayor"),CONCATENATE("R",'Mapa final'!$A$40),"")</f>
        <v/>
      </c>
      <c r="AG8" s="330"/>
      <c r="AH8" s="340" t="str">
        <f>IF(AND('Mapa final'!$H$28="Muy Alta",'Mapa final'!$L$28="Catastrófico"),CONCATENATE("R",'Mapa final'!$A$28),"")</f>
        <v/>
      </c>
      <c r="AI8" s="341"/>
      <c r="AJ8" s="341" t="str">
        <f>IF(AND('Mapa final'!$H$34="Muy Alta",'Mapa final'!$L$34="Catastrófico"),CONCATENATE("R",'Mapa final'!$A$34),"")</f>
        <v/>
      </c>
      <c r="AK8" s="341"/>
      <c r="AL8" s="341" t="str">
        <f>IF(AND('Mapa final'!$H$40="Muy Alta",'Mapa final'!$L$40="Catastrófico"),CONCATENATE("R",'Mapa final'!$A$40),"")</f>
        <v/>
      </c>
      <c r="AM8" s="342"/>
      <c r="AN8" s="82"/>
      <c r="AO8" s="287"/>
      <c r="AP8" s="288"/>
      <c r="AQ8" s="288"/>
      <c r="AR8" s="288"/>
      <c r="AS8" s="288"/>
      <c r="AT8" s="289"/>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282"/>
      <c r="C9" s="282"/>
      <c r="D9" s="283"/>
      <c r="E9" s="323"/>
      <c r="F9" s="324"/>
      <c r="G9" s="324"/>
      <c r="H9" s="324"/>
      <c r="I9" s="325"/>
      <c r="J9" s="333"/>
      <c r="K9" s="329"/>
      <c r="L9" s="329"/>
      <c r="M9" s="329"/>
      <c r="N9" s="329"/>
      <c r="O9" s="330"/>
      <c r="P9" s="333"/>
      <c r="Q9" s="329"/>
      <c r="R9" s="329"/>
      <c r="S9" s="329"/>
      <c r="T9" s="329"/>
      <c r="U9" s="330"/>
      <c r="V9" s="333"/>
      <c r="W9" s="329"/>
      <c r="X9" s="329"/>
      <c r="Y9" s="329"/>
      <c r="Z9" s="329"/>
      <c r="AA9" s="330"/>
      <c r="AB9" s="333"/>
      <c r="AC9" s="329"/>
      <c r="AD9" s="329"/>
      <c r="AE9" s="329"/>
      <c r="AF9" s="329"/>
      <c r="AG9" s="330"/>
      <c r="AH9" s="340"/>
      <c r="AI9" s="341"/>
      <c r="AJ9" s="341"/>
      <c r="AK9" s="341"/>
      <c r="AL9" s="341"/>
      <c r="AM9" s="342"/>
      <c r="AN9" s="82"/>
      <c r="AO9" s="287"/>
      <c r="AP9" s="288"/>
      <c r="AQ9" s="288"/>
      <c r="AR9" s="288"/>
      <c r="AS9" s="288"/>
      <c r="AT9" s="289"/>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282"/>
      <c r="C10" s="282"/>
      <c r="D10" s="283"/>
      <c r="E10" s="323"/>
      <c r="F10" s="324"/>
      <c r="G10" s="324"/>
      <c r="H10" s="324"/>
      <c r="I10" s="325"/>
      <c r="J10" s="333" t="str">
        <f>IF(AND('Mapa final'!$H$46="Muy Alta",'Mapa final'!$L$46="Leve"),CONCATENATE("R",'Mapa final'!$A$46),"")</f>
        <v/>
      </c>
      <c r="K10" s="329"/>
      <c r="L10" s="329" t="str">
        <f>IF(AND('Mapa final'!$H$52="Muy Alta",'Mapa final'!$L$52="Leve"),CONCATENATE("R",'Mapa final'!$A$52),"")</f>
        <v/>
      </c>
      <c r="M10" s="329"/>
      <c r="N10" s="329" t="str">
        <f>IF(AND('Mapa final'!$H$58="Muy Alta",'Mapa final'!$L$58="Leve"),CONCATENATE("R",'Mapa final'!$A$58),"")</f>
        <v/>
      </c>
      <c r="O10" s="330"/>
      <c r="P10" s="333" t="str">
        <f>IF(AND('Mapa final'!$H$46="Muy Alta",'Mapa final'!$L$46="Menor"),CONCATENATE("R",'Mapa final'!$A$46),"")</f>
        <v/>
      </c>
      <c r="Q10" s="329"/>
      <c r="R10" s="329" t="str">
        <f>IF(AND('Mapa final'!$H$52="Muy Alta",'Mapa final'!$L$52="Menor"),CONCATENATE("R",'Mapa final'!$A$52),"")</f>
        <v/>
      </c>
      <c r="S10" s="329"/>
      <c r="T10" s="329" t="str">
        <f>IF(AND('Mapa final'!$H$58="Muy Alta",'Mapa final'!$L$58="Menor"),CONCATENATE("R",'Mapa final'!$A$58),"")</f>
        <v/>
      </c>
      <c r="U10" s="330"/>
      <c r="V10" s="333" t="str">
        <f>IF(AND('Mapa final'!$H$46="Muy Alta",'Mapa final'!$L$46="Moderado"),CONCATENATE("R",'Mapa final'!$A$46),"")</f>
        <v/>
      </c>
      <c r="W10" s="329"/>
      <c r="X10" s="329" t="str">
        <f>IF(AND('Mapa final'!$H$52="Muy Alta",'Mapa final'!$L$52="Moderado"),CONCATENATE("R",'Mapa final'!$A$52),"")</f>
        <v/>
      </c>
      <c r="Y10" s="329"/>
      <c r="Z10" s="329" t="str">
        <f>IF(AND('Mapa final'!$H$58="Muy Alta",'Mapa final'!$L$58="Moderado"),CONCATENATE("R",'Mapa final'!$A$58),"")</f>
        <v/>
      </c>
      <c r="AA10" s="330"/>
      <c r="AB10" s="333" t="str">
        <f>IF(AND('Mapa final'!$H$46="Muy Alta",'Mapa final'!$L$46="Mayor"),CONCATENATE("R",'Mapa final'!$A$46),"")</f>
        <v/>
      </c>
      <c r="AC10" s="329"/>
      <c r="AD10" s="329" t="str">
        <f>IF(AND('Mapa final'!$H$52="Muy Alta",'Mapa final'!$L$52="Mayor"),CONCATENATE("R",'Mapa final'!$A$52),"")</f>
        <v/>
      </c>
      <c r="AE10" s="329"/>
      <c r="AF10" s="329" t="str">
        <f>IF(AND('Mapa final'!$H$58="Muy Alta",'Mapa final'!$L$58="Mayor"),CONCATENATE("R",'Mapa final'!$A$58),"")</f>
        <v/>
      </c>
      <c r="AG10" s="330"/>
      <c r="AH10" s="340" t="str">
        <f>IF(AND('Mapa final'!$H$46="Muy Alta",'Mapa final'!$L$46="Catastrófico"),CONCATENATE("R",'Mapa final'!$A$46),"")</f>
        <v/>
      </c>
      <c r="AI10" s="341"/>
      <c r="AJ10" s="341" t="str">
        <f>IF(AND('Mapa final'!$H$52="Muy Alta",'Mapa final'!$L$52="Catastrófico"),CONCATENATE("R",'Mapa final'!$A$52),"")</f>
        <v/>
      </c>
      <c r="AK10" s="341"/>
      <c r="AL10" s="341" t="str">
        <f>IF(AND('Mapa final'!$H$58="Muy Alta",'Mapa final'!$L$58="Catastrófico"),CONCATENATE("R",'Mapa final'!$A$58),"")</f>
        <v/>
      </c>
      <c r="AM10" s="342"/>
      <c r="AN10" s="82"/>
      <c r="AO10" s="287"/>
      <c r="AP10" s="288"/>
      <c r="AQ10" s="288"/>
      <c r="AR10" s="288"/>
      <c r="AS10" s="288"/>
      <c r="AT10" s="289"/>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282"/>
      <c r="C11" s="282"/>
      <c r="D11" s="283"/>
      <c r="E11" s="323"/>
      <c r="F11" s="324"/>
      <c r="G11" s="324"/>
      <c r="H11" s="324"/>
      <c r="I11" s="325"/>
      <c r="J11" s="333"/>
      <c r="K11" s="329"/>
      <c r="L11" s="329"/>
      <c r="M11" s="329"/>
      <c r="N11" s="329"/>
      <c r="O11" s="330"/>
      <c r="P11" s="333"/>
      <c r="Q11" s="329"/>
      <c r="R11" s="329"/>
      <c r="S11" s="329"/>
      <c r="T11" s="329"/>
      <c r="U11" s="330"/>
      <c r="V11" s="333"/>
      <c r="W11" s="329"/>
      <c r="X11" s="329"/>
      <c r="Y11" s="329"/>
      <c r="Z11" s="329"/>
      <c r="AA11" s="330"/>
      <c r="AB11" s="333"/>
      <c r="AC11" s="329"/>
      <c r="AD11" s="329"/>
      <c r="AE11" s="329"/>
      <c r="AF11" s="329"/>
      <c r="AG11" s="330"/>
      <c r="AH11" s="340"/>
      <c r="AI11" s="341"/>
      <c r="AJ11" s="341"/>
      <c r="AK11" s="341"/>
      <c r="AL11" s="341"/>
      <c r="AM11" s="342"/>
      <c r="AN11" s="82"/>
      <c r="AO11" s="287"/>
      <c r="AP11" s="288"/>
      <c r="AQ11" s="288"/>
      <c r="AR11" s="288"/>
      <c r="AS11" s="288"/>
      <c r="AT11" s="289"/>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282"/>
      <c r="C12" s="282"/>
      <c r="D12" s="283"/>
      <c r="E12" s="323"/>
      <c r="F12" s="324"/>
      <c r="G12" s="324"/>
      <c r="H12" s="324"/>
      <c r="I12" s="325"/>
      <c r="J12" s="333" t="str">
        <f>IF(AND('Mapa final'!$H$64="Muy Alta",'Mapa final'!$L$64="Leve"),CONCATENATE("R",'Mapa final'!$A$64),"")</f>
        <v/>
      </c>
      <c r="K12" s="329"/>
      <c r="L12" s="329" t="str">
        <f>IF(AND('Mapa final'!$H$70="Muy Alta",'Mapa final'!$L$70="Leve"),CONCATENATE("R",'Mapa final'!$A$70),"")</f>
        <v/>
      </c>
      <c r="M12" s="329"/>
      <c r="N12" s="329" t="str">
        <f>IF(AND('Mapa final'!$H$76="Muy Alta",'Mapa final'!$L$76="Leve"),CONCATENATE("R",'Mapa final'!$A$76),"")</f>
        <v/>
      </c>
      <c r="O12" s="330"/>
      <c r="P12" s="333" t="str">
        <f>IF(AND('Mapa final'!$H$64="Muy Alta",'Mapa final'!$L$64="Menor"),CONCATENATE("R",'Mapa final'!$A$64),"")</f>
        <v/>
      </c>
      <c r="Q12" s="329"/>
      <c r="R12" s="329" t="str">
        <f>IF(AND('Mapa final'!$H$70="Muy Alta",'Mapa final'!$L$70="Menor"),CONCATENATE("R",'Mapa final'!$A$70),"")</f>
        <v/>
      </c>
      <c r="S12" s="329"/>
      <c r="T12" s="329" t="str">
        <f>IF(AND('Mapa final'!$H$76="Muy Alta",'Mapa final'!$L$76="Menor"),CONCATENATE("R",'Mapa final'!$A$76),"")</f>
        <v/>
      </c>
      <c r="U12" s="330"/>
      <c r="V12" s="333" t="str">
        <f>IF(AND('Mapa final'!$H$64="Muy Alta",'Mapa final'!$L$64="Moderado"),CONCATENATE("R",'Mapa final'!$A$64),"")</f>
        <v/>
      </c>
      <c r="W12" s="329"/>
      <c r="X12" s="329" t="str">
        <f>IF(AND('Mapa final'!$H$70="Muy Alta",'Mapa final'!$L$70="Moderado"),CONCATENATE("R",'Mapa final'!$A$70),"")</f>
        <v/>
      </c>
      <c r="Y12" s="329"/>
      <c r="Z12" s="329" t="str">
        <f>IF(AND('Mapa final'!$H$76="Muy Alta",'Mapa final'!$L$76="Moderado"),CONCATENATE("R",'Mapa final'!$A$76),"")</f>
        <v/>
      </c>
      <c r="AA12" s="330"/>
      <c r="AB12" s="333" t="str">
        <f>IF(AND('Mapa final'!$H$64="Muy Alta",'Mapa final'!$L$64="Mayor"),CONCATENATE("R",'Mapa final'!$A$64),"")</f>
        <v/>
      </c>
      <c r="AC12" s="329"/>
      <c r="AD12" s="329" t="str">
        <f>IF(AND('Mapa final'!$H$70="Muy Alta",'Mapa final'!$L$70="Mayor"),CONCATENATE("R",'Mapa final'!$A$70),"")</f>
        <v/>
      </c>
      <c r="AE12" s="329"/>
      <c r="AF12" s="329" t="str">
        <f>IF(AND('Mapa final'!$H$76="Muy Alta",'Mapa final'!$L$76="Mayor"),CONCATENATE("R",'Mapa final'!$A$76),"")</f>
        <v/>
      </c>
      <c r="AG12" s="330"/>
      <c r="AH12" s="340" t="str">
        <f>IF(AND('Mapa final'!$H$64="Muy Alta",'Mapa final'!$L$64="Catastrófico"),CONCATENATE("R",'Mapa final'!$A$64),"")</f>
        <v/>
      </c>
      <c r="AI12" s="341"/>
      <c r="AJ12" s="341" t="str">
        <f>IF(AND('Mapa final'!$H$70="Muy Alta",'Mapa final'!$L$70="Catastrófico"),CONCATENATE("R",'Mapa final'!$A$70),"")</f>
        <v/>
      </c>
      <c r="AK12" s="341"/>
      <c r="AL12" s="341" t="str">
        <f>IF(AND('Mapa final'!$H$76="Muy Alta",'Mapa final'!$L$76="Catastrófico"),CONCATENATE("R",'Mapa final'!$A$76),"")</f>
        <v/>
      </c>
      <c r="AM12" s="342"/>
      <c r="AN12" s="82"/>
      <c r="AO12" s="287"/>
      <c r="AP12" s="288"/>
      <c r="AQ12" s="288"/>
      <c r="AR12" s="288"/>
      <c r="AS12" s="288"/>
      <c r="AT12" s="289"/>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282"/>
      <c r="C13" s="282"/>
      <c r="D13" s="283"/>
      <c r="E13" s="326"/>
      <c r="F13" s="327"/>
      <c r="G13" s="327"/>
      <c r="H13" s="327"/>
      <c r="I13" s="328"/>
      <c r="J13" s="333"/>
      <c r="K13" s="329"/>
      <c r="L13" s="329"/>
      <c r="M13" s="329"/>
      <c r="N13" s="329"/>
      <c r="O13" s="330"/>
      <c r="P13" s="333"/>
      <c r="Q13" s="329"/>
      <c r="R13" s="329"/>
      <c r="S13" s="329"/>
      <c r="T13" s="329"/>
      <c r="U13" s="330"/>
      <c r="V13" s="333"/>
      <c r="W13" s="329"/>
      <c r="X13" s="329"/>
      <c r="Y13" s="329"/>
      <c r="Z13" s="329"/>
      <c r="AA13" s="330"/>
      <c r="AB13" s="333"/>
      <c r="AC13" s="329"/>
      <c r="AD13" s="329"/>
      <c r="AE13" s="329"/>
      <c r="AF13" s="329"/>
      <c r="AG13" s="330"/>
      <c r="AH13" s="343"/>
      <c r="AI13" s="344"/>
      <c r="AJ13" s="344"/>
      <c r="AK13" s="344"/>
      <c r="AL13" s="344"/>
      <c r="AM13" s="345"/>
      <c r="AN13" s="82"/>
      <c r="AO13" s="290"/>
      <c r="AP13" s="291"/>
      <c r="AQ13" s="291"/>
      <c r="AR13" s="291"/>
      <c r="AS13" s="291"/>
      <c r="AT13" s="29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282"/>
      <c r="C14" s="282"/>
      <c r="D14" s="283"/>
      <c r="E14" s="320" t="s">
        <v>114</v>
      </c>
      <c r="F14" s="321"/>
      <c r="G14" s="321"/>
      <c r="H14" s="321"/>
      <c r="I14" s="321"/>
      <c r="J14" s="355" t="str">
        <f>IF(AND('Mapa final'!$H$10="Alta",'Mapa final'!$L$10="Leve"),CONCATENATE("R",'Mapa final'!$A$10),"")</f>
        <v/>
      </c>
      <c r="K14" s="356"/>
      <c r="L14" s="356" t="str">
        <f>IF(AND('Mapa final'!$H$16="Alta",'Mapa final'!$L$16="Leve"),CONCATENATE("R",'Mapa final'!$A$16),"")</f>
        <v/>
      </c>
      <c r="M14" s="356"/>
      <c r="N14" s="356" t="str">
        <f>IF(AND('Mapa final'!$H$22="Alta",'Mapa final'!$L$22="Leve"),CONCATENATE("R",'Mapa final'!$A$22),"")</f>
        <v/>
      </c>
      <c r="O14" s="357"/>
      <c r="P14" s="355" t="str">
        <f>IF(AND('Mapa final'!$H$10="Alta",'Mapa final'!$L$10="Menor"),CONCATENATE("R",'Mapa final'!$A$10),"")</f>
        <v/>
      </c>
      <c r="Q14" s="356"/>
      <c r="R14" s="356" t="str">
        <f>IF(AND('Mapa final'!$H$16="Alta",'Mapa final'!$L$16="Menor"),CONCATENATE("R",'Mapa final'!$A$16),"")</f>
        <v/>
      </c>
      <c r="S14" s="356"/>
      <c r="T14" s="356" t="str">
        <f>IF(AND('Mapa final'!$H$22="Alta",'Mapa final'!$L$22="Menor"),CONCATENATE("R",'Mapa final'!$A$22),"")</f>
        <v/>
      </c>
      <c r="U14" s="357"/>
      <c r="V14" s="331" t="str">
        <f>IF(AND('Mapa final'!$H$10="Alta",'Mapa final'!$L$10="Moderado"),CONCATENATE("R",'Mapa final'!$A$10),"")</f>
        <v/>
      </c>
      <c r="W14" s="332"/>
      <c r="X14" s="332" t="str">
        <f>IF(AND('Mapa final'!$H$16="Alta",'Mapa final'!$L$16="Moderado"),CONCATENATE("R",'Mapa final'!$A$16),"")</f>
        <v/>
      </c>
      <c r="Y14" s="332"/>
      <c r="Z14" s="332" t="str">
        <f>IF(AND('Mapa final'!$H$22="Alta",'Mapa final'!$L$22="Moderado"),CONCATENATE("R",'Mapa final'!$A$22),"")</f>
        <v/>
      </c>
      <c r="AA14" s="334"/>
      <c r="AB14" s="331" t="str">
        <f>IF(AND('Mapa final'!$H$10="Alta",'Mapa final'!$L$10="Mayor"),CONCATENATE("R",'Mapa final'!$A$10),"")</f>
        <v/>
      </c>
      <c r="AC14" s="332"/>
      <c r="AD14" s="332" t="str">
        <f>IF(AND('Mapa final'!$H$16="Alta",'Mapa final'!$L$16="Mayor"),CONCATENATE("R",'Mapa final'!$A$16),"")</f>
        <v/>
      </c>
      <c r="AE14" s="332"/>
      <c r="AF14" s="332" t="str">
        <f>IF(AND('Mapa final'!$H$22="Alta",'Mapa final'!$L$22="Mayor"),CONCATENATE("R",'Mapa final'!$A$22),"")</f>
        <v/>
      </c>
      <c r="AG14" s="334"/>
      <c r="AH14" s="346" t="str">
        <f>IF(AND('Mapa final'!$H$10="Alta",'Mapa final'!$L$10="Catastrófico"),CONCATENATE("R",'Mapa final'!$A$10),"")</f>
        <v/>
      </c>
      <c r="AI14" s="347"/>
      <c r="AJ14" s="347" t="str">
        <f>IF(AND('Mapa final'!$H$16="Alta",'Mapa final'!$L$16="Catastrófico"),CONCATENATE("R",'Mapa final'!$A$16),"")</f>
        <v/>
      </c>
      <c r="AK14" s="347"/>
      <c r="AL14" s="347" t="str">
        <f>IF(AND('Mapa final'!$H$22="Alta",'Mapa final'!$L$22="Catastrófico"),CONCATENATE("R",'Mapa final'!$A$22),"")</f>
        <v/>
      </c>
      <c r="AM14" s="348"/>
      <c r="AN14" s="82"/>
      <c r="AO14" s="293" t="s">
        <v>79</v>
      </c>
      <c r="AP14" s="294"/>
      <c r="AQ14" s="294"/>
      <c r="AR14" s="294"/>
      <c r="AS14" s="294"/>
      <c r="AT14" s="295"/>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282"/>
      <c r="C15" s="282"/>
      <c r="D15" s="283"/>
      <c r="E15" s="323"/>
      <c r="F15" s="324"/>
      <c r="G15" s="324"/>
      <c r="H15" s="324"/>
      <c r="I15" s="324"/>
      <c r="J15" s="349"/>
      <c r="K15" s="350"/>
      <c r="L15" s="350"/>
      <c r="M15" s="350"/>
      <c r="N15" s="350"/>
      <c r="O15" s="351"/>
      <c r="P15" s="349"/>
      <c r="Q15" s="350"/>
      <c r="R15" s="350"/>
      <c r="S15" s="350"/>
      <c r="T15" s="350"/>
      <c r="U15" s="351"/>
      <c r="V15" s="333"/>
      <c r="W15" s="329"/>
      <c r="X15" s="329"/>
      <c r="Y15" s="329"/>
      <c r="Z15" s="329"/>
      <c r="AA15" s="330"/>
      <c r="AB15" s="333"/>
      <c r="AC15" s="329"/>
      <c r="AD15" s="329"/>
      <c r="AE15" s="329"/>
      <c r="AF15" s="329"/>
      <c r="AG15" s="330"/>
      <c r="AH15" s="340"/>
      <c r="AI15" s="341"/>
      <c r="AJ15" s="341"/>
      <c r="AK15" s="341"/>
      <c r="AL15" s="341"/>
      <c r="AM15" s="342"/>
      <c r="AN15" s="82"/>
      <c r="AO15" s="296"/>
      <c r="AP15" s="297"/>
      <c r="AQ15" s="297"/>
      <c r="AR15" s="297"/>
      <c r="AS15" s="297"/>
      <c r="AT15" s="298"/>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282"/>
      <c r="C16" s="282"/>
      <c r="D16" s="283"/>
      <c r="E16" s="323"/>
      <c r="F16" s="324"/>
      <c r="G16" s="324"/>
      <c r="H16" s="324"/>
      <c r="I16" s="324"/>
      <c r="J16" s="349" t="str">
        <f>IF(AND('Mapa final'!$H$28="Alta",'Mapa final'!$L$28="Leve"),CONCATENATE("R",'Mapa final'!$A$28),"")</f>
        <v/>
      </c>
      <c r="K16" s="350"/>
      <c r="L16" s="350" t="str">
        <f>IF(AND('Mapa final'!$H$34="Alta",'Mapa final'!$L$34="Leve"),CONCATENATE("R",'Mapa final'!$A$34),"")</f>
        <v/>
      </c>
      <c r="M16" s="350"/>
      <c r="N16" s="350" t="str">
        <f>IF(AND('Mapa final'!$H$40="Alta",'Mapa final'!$L$40="Leve"),CONCATENATE("R",'Mapa final'!$A$40),"")</f>
        <v/>
      </c>
      <c r="O16" s="351"/>
      <c r="P16" s="349" t="str">
        <f>IF(AND('Mapa final'!$H$28="Alta",'Mapa final'!$L$28="Menor"),CONCATENATE("R",'Mapa final'!$A$28),"")</f>
        <v/>
      </c>
      <c r="Q16" s="350"/>
      <c r="R16" s="350" t="str">
        <f>IF(AND('Mapa final'!$H$34="Alta",'Mapa final'!$L$34="Menor"),CONCATENATE("R",'Mapa final'!$A$34),"")</f>
        <v/>
      </c>
      <c r="S16" s="350"/>
      <c r="T16" s="350" t="str">
        <f>IF(AND('Mapa final'!$H$40="Alta",'Mapa final'!$L$40="Menor"),CONCATENATE("R",'Mapa final'!$A$40),"")</f>
        <v/>
      </c>
      <c r="U16" s="351"/>
      <c r="V16" s="333" t="str">
        <f>IF(AND('Mapa final'!$H$28="Alta",'Mapa final'!$L$28="Moderado"),CONCATENATE("R",'Mapa final'!$A$28),"")</f>
        <v/>
      </c>
      <c r="W16" s="329"/>
      <c r="X16" s="329" t="str">
        <f>IF(AND('Mapa final'!$H$34="Alta",'Mapa final'!$L$34="Moderado"),CONCATENATE("R",'Mapa final'!$A$34),"")</f>
        <v/>
      </c>
      <c r="Y16" s="329"/>
      <c r="Z16" s="329" t="str">
        <f>IF(AND('Mapa final'!$H$40="Alta",'Mapa final'!$L$40="Moderado"),CONCATENATE("R",'Mapa final'!$A$40),"")</f>
        <v/>
      </c>
      <c r="AA16" s="330"/>
      <c r="AB16" s="333" t="str">
        <f>IF(AND('Mapa final'!$H$28="Alta",'Mapa final'!$L$28="Mayor"),CONCATENATE("R",'Mapa final'!$A$28),"")</f>
        <v/>
      </c>
      <c r="AC16" s="329"/>
      <c r="AD16" s="329" t="str">
        <f>IF(AND('Mapa final'!$H$34="Alta",'Mapa final'!$L$34="Mayor"),CONCATENATE("R",'Mapa final'!$A$34),"")</f>
        <v/>
      </c>
      <c r="AE16" s="329"/>
      <c r="AF16" s="329" t="str">
        <f>IF(AND('Mapa final'!$H$40="Alta",'Mapa final'!$L$40="Mayor"),CONCATENATE("R",'Mapa final'!$A$40),"")</f>
        <v/>
      </c>
      <c r="AG16" s="330"/>
      <c r="AH16" s="340" t="str">
        <f>IF(AND('Mapa final'!$H$28="Alta",'Mapa final'!$L$28="Catastrófico"),CONCATENATE("R",'Mapa final'!$A$28),"")</f>
        <v/>
      </c>
      <c r="AI16" s="341"/>
      <c r="AJ16" s="341" t="str">
        <f>IF(AND('Mapa final'!$H$34="Alta",'Mapa final'!$L$34="Catastrófico"),CONCATENATE("R",'Mapa final'!$A$34),"")</f>
        <v/>
      </c>
      <c r="AK16" s="341"/>
      <c r="AL16" s="341" t="str">
        <f>IF(AND('Mapa final'!$H$40="Alta",'Mapa final'!$L$40="Catastrófico"),CONCATENATE("R",'Mapa final'!$A$40),"")</f>
        <v/>
      </c>
      <c r="AM16" s="342"/>
      <c r="AN16" s="82"/>
      <c r="AO16" s="296"/>
      <c r="AP16" s="297"/>
      <c r="AQ16" s="297"/>
      <c r="AR16" s="297"/>
      <c r="AS16" s="297"/>
      <c r="AT16" s="298"/>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282"/>
      <c r="C17" s="282"/>
      <c r="D17" s="283"/>
      <c r="E17" s="323"/>
      <c r="F17" s="324"/>
      <c r="G17" s="324"/>
      <c r="H17" s="324"/>
      <c r="I17" s="324"/>
      <c r="J17" s="349"/>
      <c r="K17" s="350"/>
      <c r="L17" s="350"/>
      <c r="M17" s="350"/>
      <c r="N17" s="350"/>
      <c r="O17" s="351"/>
      <c r="P17" s="349"/>
      <c r="Q17" s="350"/>
      <c r="R17" s="350"/>
      <c r="S17" s="350"/>
      <c r="T17" s="350"/>
      <c r="U17" s="351"/>
      <c r="V17" s="333"/>
      <c r="W17" s="329"/>
      <c r="X17" s="329"/>
      <c r="Y17" s="329"/>
      <c r="Z17" s="329"/>
      <c r="AA17" s="330"/>
      <c r="AB17" s="333"/>
      <c r="AC17" s="329"/>
      <c r="AD17" s="329"/>
      <c r="AE17" s="329"/>
      <c r="AF17" s="329"/>
      <c r="AG17" s="330"/>
      <c r="AH17" s="340"/>
      <c r="AI17" s="341"/>
      <c r="AJ17" s="341"/>
      <c r="AK17" s="341"/>
      <c r="AL17" s="341"/>
      <c r="AM17" s="342"/>
      <c r="AN17" s="82"/>
      <c r="AO17" s="296"/>
      <c r="AP17" s="297"/>
      <c r="AQ17" s="297"/>
      <c r="AR17" s="297"/>
      <c r="AS17" s="297"/>
      <c r="AT17" s="298"/>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282"/>
      <c r="C18" s="282"/>
      <c r="D18" s="283"/>
      <c r="E18" s="323"/>
      <c r="F18" s="324"/>
      <c r="G18" s="324"/>
      <c r="H18" s="324"/>
      <c r="I18" s="324"/>
      <c r="J18" s="349" t="str">
        <f>IF(AND('Mapa final'!$H$46="Alta",'Mapa final'!$L$46="Leve"),CONCATENATE("R",'Mapa final'!$A$46),"")</f>
        <v/>
      </c>
      <c r="K18" s="350"/>
      <c r="L18" s="350" t="str">
        <f>IF(AND('Mapa final'!$H$52="Alta",'Mapa final'!$L$52="Leve"),CONCATENATE("R",'Mapa final'!$A$52),"")</f>
        <v/>
      </c>
      <c r="M18" s="350"/>
      <c r="N18" s="350" t="str">
        <f>IF(AND('Mapa final'!$H$58="Alta",'Mapa final'!$L$58="Leve"),CONCATENATE("R",'Mapa final'!$A$58),"")</f>
        <v/>
      </c>
      <c r="O18" s="351"/>
      <c r="P18" s="349" t="str">
        <f>IF(AND('Mapa final'!$H$46="Alta",'Mapa final'!$L$46="Menor"),CONCATENATE("R",'Mapa final'!$A$46),"")</f>
        <v/>
      </c>
      <c r="Q18" s="350"/>
      <c r="R18" s="350" t="str">
        <f>IF(AND('Mapa final'!$H$52="Alta",'Mapa final'!$L$52="Menor"),CONCATENATE("R",'Mapa final'!$A$52),"")</f>
        <v/>
      </c>
      <c r="S18" s="350"/>
      <c r="T18" s="350" t="str">
        <f>IF(AND('Mapa final'!$H$58="Alta",'Mapa final'!$L$58="Menor"),CONCATENATE("R",'Mapa final'!$A$58),"")</f>
        <v/>
      </c>
      <c r="U18" s="351"/>
      <c r="V18" s="333" t="str">
        <f>IF(AND('Mapa final'!$H$46="Alta",'Mapa final'!$L$46="Moderado"),CONCATENATE("R",'Mapa final'!$A$46),"")</f>
        <v/>
      </c>
      <c r="W18" s="329"/>
      <c r="X18" s="329" t="str">
        <f>IF(AND('Mapa final'!$H$52="Alta",'Mapa final'!$L$52="Moderado"),CONCATENATE("R",'Mapa final'!$A$52),"")</f>
        <v/>
      </c>
      <c r="Y18" s="329"/>
      <c r="Z18" s="329" t="str">
        <f>IF(AND('Mapa final'!$H$58="Alta",'Mapa final'!$L$58="Moderado"),CONCATENATE("R",'Mapa final'!$A$58),"")</f>
        <v/>
      </c>
      <c r="AA18" s="330"/>
      <c r="AB18" s="333" t="str">
        <f>IF(AND('Mapa final'!$H$46="Alta",'Mapa final'!$L$46="Mayor"),CONCATENATE("R",'Mapa final'!$A$46),"")</f>
        <v/>
      </c>
      <c r="AC18" s="329"/>
      <c r="AD18" s="329" t="str">
        <f>IF(AND('Mapa final'!$H$52="Alta",'Mapa final'!$L$52="Mayor"),CONCATENATE("R",'Mapa final'!$A$52),"")</f>
        <v/>
      </c>
      <c r="AE18" s="329"/>
      <c r="AF18" s="329" t="str">
        <f>IF(AND('Mapa final'!$H$58="Alta",'Mapa final'!$L$58="Mayor"),CONCATENATE("R",'Mapa final'!$A$58),"")</f>
        <v/>
      </c>
      <c r="AG18" s="330"/>
      <c r="AH18" s="340" t="str">
        <f>IF(AND('Mapa final'!$H$46="Alta",'Mapa final'!$L$46="Catastrófico"),CONCATENATE("R",'Mapa final'!$A$46),"")</f>
        <v/>
      </c>
      <c r="AI18" s="341"/>
      <c r="AJ18" s="341" t="str">
        <f>IF(AND('Mapa final'!$H$52="Alta",'Mapa final'!$L$52="Catastrófico"),CONCATENATE("R",'Mapa final'!$A$52),"")</f>
        <v/>
      </c>
      <c r="AK18" s="341"/>
      <c r="AL18" s="341" t="str">
        <f>IF(AND('Mapa final'!$H$58="Alta",'Mapa final'!$L$58="Catastrófico"),CONCATENATE("R",'Mapa final'!$A$58),"")</f>
        <v/>
      </c>
      <c r="AM18" s="342"/>
      <c r="AN18" s="82"/>
      <c r="AO18" s="296"/>
      <c r="AP18" s="297"/>
      <c r="AQ18" s="297"/>
      <c r="AR18" s="297"/>
      <c r="AS18" s="297"/>
      <c r="AT18" s="298"/>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282"/>
      <c r="C19" s="282"/>
      <c r="D19" s="283"/>
      <c r="E19" s="323"/>
      <c r="F19" s="324"/>
      <c r="G19" s="324"/>
      <c r="H19" s="324"/>
      <c r="I19" s="324"/>
      <c r="J19" s="349"/>
      <c r="K19" s="350"/>
      <c r="L19" s="350"/>
      <c r="M19" s="350"/>
      <c r="N19" s="350"/>
      <c r="O19" s="351"/>
      <c r="P19" s="349"/>
      <c r="Q19" s="350"/>
      <c r="R19" s="350"/>
      <c r="S19" s="350"/>
      <c r="T19" s="350"/>
      <c r="U19" s="351"/>
      <c r="V19" s="333"/>
      <c r="W19" s="329"/>
      <c r="X19" s="329"/>
      <c r="Y19" s="329"/>
      <c r="Z19" s="329"/>
      <c r="AA19" s="330"/>
      <c r="AB19" s="333"/>
      <c r="AC19" s="329"/>
      <c r="AD19" s="329"/>
      <c r="AE19" s="329"/>
      <c r="AF19" s="329"/>
      <c r="AG19" s="330"/>
      <c r="AH19" s="340"/>
      <c r="AI19" s="341"/>
      <c r="AJ19" s="341"/>
      <c r="AK19" s="341"/>
      <c r="AL19" s="341"/>
      <c r="AM19" s="342"/>
      <c r="AN19" s="82"/>
      <c r="AO19" s="296"/>
      <c r="AP19" s="297"/>
      <c r="AQ19" s="297"/>
      <c r="AR19" s="297"/>
      <c r="AS19" s="297"/>
      <c r="AT19" s="298"/>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282"/>
      <c r="C20" s="282"/>
      <c r="D20" s="283"/>
      <c r="E20" s="323"/>
      <c r="F20" s="324"/>
      <c r="G20" s="324"/>
      <c r="H20" s="324"/>
      <c r="I20" s="324"/>
      <c r="J20" s="349" t="str">
        <f>IF(AND('Mapa final'!$H$64="Alta",'Mapa final'!$L$64="Leve"),CONCATENATE("R",'Mapa final'!$A$64),"")</f>
        <v/>
      </c>
      <c r="K20" s="350"/>
      <c r="L20" s="350" t="str">
        <f>IF(AND('Mapa final'!$H$70="Alta",'Mapa final'!$L$70="Leve"),CONCATENATE("R",'Mapa final'!$A$70),"")</f>
        <v/>
      </c>
      <c r="M20" s="350"/>
      <c r="N20" s="350" t="str">
        <f>IF(AND('Mapa final'!$H$76="Alta",'Mapa final'!$L$76="Leve"),CONCATENATE("R",'Mapa final'!$A$76),"")</f>
        <v/>
      </c>
      <c r="O20" s="351"/>
      <c r="P20" s="349" t="str">
        <f>IF(AND('Mapa final'!$H$64="Alta",'Mapa final'!$L$64="Menor"),CONCATENATE("R",'Mapa final'!$A$64),"")</f>
        <v/>
      </c>
      <c r="Q20" s="350"/>
      <c r="R20" s="350" t="str">
        <f>IF(AND('Mapa final'!$H$70="Alta",'Mapa final'!$L$70="Menor"),CONCATENATE("R",'Mapa final'!$A$70),"")</f>
        <v/>
      </c>
      <c r="S20" s="350"/>
      <c r="T20" s="350" t="str">
        <f>IF(AND('Mapa final'!$H$76="Alta",'Mapa final'!$L$76="Menor"),CONCATENATE("R",'Mapa final'!$A$76),"")</f>
        <v/>
      </c>
      <c r="U20" s="351"/>
      <c r="V20" s="333" t="str">
        <f>IF(AND('Mapa final'!$H$64="Alta",'Mapa final'!$L$64="Moderado"),CONCATENATE("R",'Mapa final'!$A$64),"")</f>
        <v/>
      </c>
      <c r="W20" s="329"/>
      <c r="X20" s="329" t="str">
        <f>IF(AND('Mapa final'!$H$70="Alta",'Mapa final'!$L$70="Moderado"),CONCATENATE("R",'Mapa final'!$A$70),"")</f>
        <v/>
      </c>
      <c r="Y20" s="329"/>
      <c r="Z20" s="329" t="str">
        <f>IF(AND('Mapa final'!$H$76="Alta",'Mapa final'!$L$76="Moderado"),CONCATENATE("R",'Mapa final'!$A$76),"")</f>
        <v/>
      </c>
      <c r="AA20" s="330"/>
      <c r="AB20" s="333" t="str">
        <f>IF(AND('Mapa final'!$H$64="Alta",'Mapa final'!$L$64="Mayor"),CONCATENATE("R",'Mapa final'!$A$64),"")</f>
        <v/>
      </c>
      <c r="AC20" s="329"/>
      <c r="AD20" s="329" t="str">
        <f>IF(AND('Mapa final'!$H$70="Alta",'Mapa final'!$L$70="Mayor"),CONCATENATE("R",'Mapa final'!$A$70),"")</f>
        <v/>
      </c>
      <c r="AE20" s="329"/>
      <c r="AF20" s="329" t="str">
        <f>IF(AND('Mapa final'!$H$76="Alta",'Mapa final'!$L$76="Mayor"),CONCATENATE("R",'Mapa final'!$A$76),"")</f>
        <v/>
      </c>
      <c r="AG20" s="330"/>
      <c r="AH20" s="340" t="str">
        <f>IF(AND('Mapa final'!$H$64="Alta",'Mapa final'!$L$64="Catastrófico"),CONCATENATE("R",'Mapa final'!$A$64),"")</f>
        <v/>
      </c>
      <c r="AI20" s="341"/>
      <c r="AJ20" s="341" t="str">
        <f>IF(AND('Mapa final'!$H$70="Alta",'Mapa final'!$L$70="Catastrófico"),CONCATENATE("R",'Mapa final'!$A$70),"")</f>
        <v/>
      </c>
      <c r="AK20" s="341"/>
      <c r="AL20" s="341" t="str">
        <f>IF(AND('Mapa final'!$H$76="Alta",'Mapa final'!$L$76="Catastrófico"),CONCATENATE("R",'Mapa final'!$A$76),"")</f>
        <v/>
      </c>
      <c r="AM20" s="342"/>
      <c r="AN20" s="82"/>
      <c r="AO20" s="296"/>
      <c r="AP20" s="297"/>
      <c r="AQ20" s="297"/>
      <c r="AR20" s="297"/>
      <c r="AS20" s="297"/>
      <c r="AT20" s="298"/>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282"/>
      <c r="C21" s="282"/>
      <c r="D21" s="283"/>
      <c r="E21" s="326"/>
      <c r="F21" s="327"/>
      <c r="G21" s="327"/>
      <c r="H21" s="327"/>
      <c r="I21" s="327"/>
      <c r="J21" s="352"/>
      <c r="K21" s="353"/>
      <c r="L21" s="353"/>
      <c r="M21" s="353"/>
      <c r="N21" s="353"/>
      <c r="O21" s="354"/>
      <c r="P21" s="352"/>
      <c r="Q21" s="353"/>
      <c r="R21" s="353"/>
      <c r="S21" s="353"/>
      <c r="T21" s="353"/>
      <c r="U21" s="354"/>
      <c r="V21" s="337"/>
      <c r="W21" s="338"/>
      <c r="X21" s="338"/>
      <c r="Y21" s="338"/>
      <c r="Z21" s="338"/>
      <c r="AA21" s="339"/>
      <c r="AB21" s="337"/>
      <c r="AC21" s="338"/>
      <c r="AD21" s="338"/>
      <c r="AE21" s="338"/>
      <c r="AF21" s="338"/>
      <c r="AG21" s="339"/>
      <c r="AH21" s="343"/>
      <c r="AI21" s="344"/>
      <c r="AJ21" s="344"/>
      <c r="AK21" s="344"/>
      <c r="AL21" s="344"/>
      <c r="AM21" s="345"/>
      <c r="AN21" s="82"/>
      <c r="AO21" s="299"/>
      <c r="AP21" s="300"/>
      <c r="AQ21" s="300"/>
      <c r="AR21" s="300"/>
      <c r="AS21" s="300"/>
      <c r="AT21" s="301"/>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282"/>
      <c r="C22" s="282"/>
      <c r="D22" s="283"/>
      <c r="E22" s="320" t="s">
        <v>116</v>
      </c>
      <c r="F22" s="321"/>
      <c r="G22" s="321"/>
      <c r="H22" s="321"/>
      <c r="I22" s="322"/>
      <c r="J22" s="355" t="str">
        <f>IF(AND('Mapa final'!$H$10="Media",'Mapa final'!$L$10="Leve"),CONCATENATE("R",'Mapa final'!$A$10),"")</f>
        <v/>
      </c>
      <c r="K22" s="356"/>
      <c r="L22" s="356" t="str">
        <f>IF(AND('Mapa final'!$H$16="Media",'Mapa final'!$L$16="Leve"),CONCATENATE("R",'Mapa final'!$A$16),"")</f>
        <v/>
      </c>
      <c r="M22" s="356"/>
      <c r="N22" s="356" t="str">
        <f>IF(AND('Mapa final'!$H$22="Media",'Mapa final'!$L$22="Leve"),CONCATENATE("R",'Mapa final'!$A$22),"")</f>
        <v/>
      </c>
      <c r="O22" s="357"/>
      <c r="P22" s="355" t="str">
        <f>IF(AND('Mapa final'!$H$10="Media",'Mapa final'!$L$10="Menor"),CONCATENATE("R",'Mapa final'!$A$10),"")</f>
        <v/>
      </c>
      <c r="Q22" s="356"/>
      <c r="R22" s="356" t="str">
        <f>IF(AND('Mapa final'!$H$16="Media",'Mapa final'!$L$16="Menor"),CONCATENATE("R",'Mapa final'!$A$16),"")</f>
        <v/>
      </c>
      <c r="S22" s="356"/>
      <c r="T22" s="356" t="str">
        <f>IF(AND('Mapa final'!$H$22="Media",'Mapa final'!$L$22="Menor"),CONCATENATE("R",'Mapa final'!$A$22),"")</f>
        <v/>
      </c>
      <c r="U22" s="357"/>
      <c r="V22" s="355" t="str">
        <f>IF(AND('Mapa final'!$H$10="Media",'Mapa final'!$L$10="Moderado"),CONCATENATE("R",'Mapa final'!$A$10),"")</f>
        <v/>
      </c>
      <c r="W22" s="356"/>
      <c r="X22" s="356" t="str">
        <f>IF(AND('Mapa final'!$H$16="Media",'Mapa final'!$L$16="Moderado"),CONCATENATE("R",'Mapa final'!$A$16),"")</f>
        <v>R2</v>
      </c>
      <c r="Y22" s="356"/>
      <c r="Z22" s="356" t="str">
        <f>IF(AND('Mapa final'!$H$22="Media",'Mapa final'!$L$22="Moderado"),CONCATENATE("R",'Mapa final'!$A$22),"")</f>
        <v/>
      </c>
      <c r="AA22" s="357"/>
      <c r="AB22" s="331" t="str">
        <f>IF(AND('Mapa final'!$H$10="Media",'Mapa final'!$L$10="Mayor"),CONCATENATE("R",'Mapa final'!$A$10),"")</f>
        <v/>
      </c>
      <c r="AC22" s="332"/>
      <c r="AD22" s="332" t="str">
        <f>IF(AND('Mapa final'!$H$16="Media",'Mapa final'!$L$16="Mayor"),CONCATENATE("R",'Mapa final'!$A$16),"")</f>
        <v/>
      </c>
      <c r="AE22" s="332"/>
      <c r="AF22" s="332" t="str">
        <f>IF(AND('Mapa final'!$H$22="Media",'Mapa final'!$L$22="Mayor"),CONCATENATE("R",'Mapa final'!$A$22),"")</f>
        <v/>
      </c>
      <c r="AG22" s="334"/>
      <c r="AH22" s="346" t="str">
        <f>IF(AND('Mapa final'!$H$10="Media",'Mapa final'!$L$10="Catastrófico"),CONCATENATE("R",'Mapa final'!$A$10),"")</f>
        <v/>
      </c>
      <c r="AI22" s="347"/>
      <c r="AJ22" s="347" t="str">
        <f>IF(AND('Mapa final'!$H$16="Media",'Mapa final'!$L$16="Catastrófico"),CONCATENATE("R",'Mapa final'!$A$16),"")</f>
        <v/>
      </c>
      <c r="AK22" s="347"/>
      <c r="AL22" s="347" t="str">
        <f>IF(AND('Mapa final'!$H$22="Media",'Mapa final'!$L$22="Catastrófico"),CONCATENATE("R",'Mapa final'!$A$22),"")</f>
        <v/>
      </c>
      <c r="AM22" s="348"/>
      <c r="AN22" s="82"/>
      <c r="AO22" s="302" t="s">
        <v>80</v>
      </c>
      <c r="AP22" s="303"/>
      <c r="AQ22" s="303"/>
      <c r="AR22" s="303"/>
      <c r="AS22" s="303"/>
      <c r="AT22" s="304"/>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282"/>
      <c r="C23" s="282"/>
      <c r="D23" s="283"/>
      <c r="E23" s="323"/>
      <c r="F23" s="324"/>
      <c r="G23" s="324"/>
      <c r="H23" s="324"/>
      <c r="I23" s="325"/>
      <c r="J23" s="349"/>
      <c r="K23" s="350"/>
      <c r="L23" s="350"/>
      <c r="M23" s="350"/>
      <c r="N23" s="350"/>
      <c r="O23" s="351"/>
      <c r="P23" s="349"/>
      <c r="Q23" s="350"/>
      <c r="R23" s="350"/>
      <c r="S23" s="350"/>
      <c r="T23" s="350"/>
      <c r="U23" s="351"/>
      <c r="V23" s="349"/>
      <c r="W23" s="350"/>
      <c r="X23" s="350"/>
      <c r="Y23" s="350"/>
      <c r="Z23" s="350"/>
      <c r="AA23" s="351"/>
      <c r="AB23" s="333"/>
      <c r="AC23" s="329"/>
      <c r="AD23" s="329"/>
      <c r="AE23" s="329"/>
      <c r="AF23" s="329"/>
      <c r="AG23" s="330"/>
      <c r="AH23" s="340"/>
      <c r="AI23" s="341"/>
      <c r="AJ23" s="341"/>
      <c r="AK23" s="341"/>
      <c r="AL23" s="341"/>
      <c r="AM23" s="342"/>
      <c r="AN23" s="82"/>
      <c r="AO23" s="305"/>
      <c r="AP23" s="306"/>
      <c r="AQ23" s="306"/>
      <c r="AR23" s="306"/>
      <c r="AS23" s="306"/>
      <c r="AT23" s="307"/>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282"/>
      <c r="C24" s="282"/>
      <c r="D24" s="283"/>
      <c r="E24" s="323"/>
      <c r="F24" s="324"/>
      <c r="G24" s="324"/>
      <c r="H24" s="324"/>
      <c r="I24" s="325"/>
      <c r="J24" s="349" t="str">
        <f>IF(AND('Mapa final'!$H$28="Media",'Mapa final'!$L$28="Leve"),CONCATENATE("R",'Mapa final'!$A$28),"")</f>
        <v/>
      </c>
      <c r="K24" s="350"/>
      <c r="L24" s="350" t="str">
        <f>IF(AND('Mapa final'!$H$34="Media",'Mapa final'!$L$34="Leve"),CONCATENATE("R",'Mapa final'!$A$34),"")</f>
        <v/>
      </c>
      <c r="M24" s="350"/>
      <c r="N24" s="350" t="str">
        <f>IF(AND('Mapa final'!$H$40="Media",'Mapa final'!$L$40="Leve"),CONCATENATE("R",'Mapa final'!$A$40),"")</f>
        <v/>
      </c>
      <c r="O24" s="351"/>
      <c r="P24" s="349" t="str">
        <f>IF(AND('Mapa final'!$H$28="Media",'Mapa final'!$L$28="Menor"),CONCATENATE("R",'Mapa final'!$A$28),"")</f>
        <v/>
      </c>
      <c r="Q24" s="350"/>
      <c r="R24" s="350" t="str">
        <f>IF(AND('Mapa final'!$H$34="Media",'Mapa final'!$L$34="Menor"),CONCATENATE("R",'Mapa final'!$A$34),"")</f>
        <v/>
      </c>
      <c r="S24" s="350"/>
      <c r="T24" s="350" t="str">
        <f>IF(AND('Mapa final'!$H$40="Media",'Mapa final'!$L$40="Menor"),CONCATENATE("R",'Mapa final'!$A$40),"")</f>
        <v/>
      </c>
      <c r="U24" s="351"/>
      <c r="V24" s="349" t="str">
        <f>IF(AND('Mapa final'!$H$28="Media",'Mapa final'!$L$28="Moderado"),CONCATENATE("R",'Mapa final'!$A$28),"")</f>
        <v/>
      </c>
      <c r="W24" s="350"/>
      <c r="X24" s="350" t="str">
        <f>IF(AND('Mapa final'!$H$34="Media",'Mapa final'!$L$34="Moderado"),CONCATENATE("R",'Mapa final'!$A$34),"")</f>
        <v/>
      </c>
      <c r="Y24" s="350"/>
      <c r="Z24" s="350" t="str">
        <f>IF(AND('Mapa final'!$H$40="Media",'Mapa final'!$L$40="Moderado"),CONCATENATE("R",'Mapa final'!$A$40),"")</f>
        <v/>
      </c>
      <c r="AA24" s="351"/>
      <c r="AB24" s="333" t="str">
        <f>IF(AND('Mapa final'!$H$28="Media",'Mapa final'!$L$28="Mayor"),CONCATENATE("R",'Mapa final'!$A$28),"")</f>
        <v/>
      </c>
      <c r="AC24" s="329"/>
      <c r="AD24" s="329" t="str">
        <f>IF(AND('Mapa final'!$H$34="Media",'Mapa final'!$L$34="Mayor"),CONCATENATE("R",'Mapa final'!$A$34),"")</f>
        <v/>
      </c>
      <c r="AE24" s="329"/>
      <c r="AF24" s="329" t="str">
        <f>IF(AND('Mapa final'!$H$40="Media",'Mapa final'!$L$40="Mayor"),CONCATENATE("R",'Mapa final'!$A$40),"")</f>
        <v/>
      </c>
      <c r="AG24" s="330"/>
      <c r="AH24" s="340" t="str">
        <f>IF(AND('Mapa final'!$H$28="Media",'Mapa final'!$L$28="Catastrófico"),CONCATENATE("R",'Mapa final'!$A$28),"")</f>
        <v/>
      </c>
      <c r="AI24" s="341"/>
      <c r="AJ24" s="341" t="str">
        <f>IF(AND('Mapa final'!$H$34="Media",'Mapa final'!$L$34="Catastrófico"),CONCATENATE("R",'Mapa final'!$A$34),"")</f>
        <v/>
      </c>
      <c r="AK24" s="341"/>
      <c r="AL24" s="341" t="str">
        <f>IF(AND('Mapa final'!$H$40="Media",'Mapa final'!$L$40="Catastrófico"),CONCATENATE("R",'Mapa final'!$A$40),"")</f>
        <v/>
      </c>
      <c r="AM24" s="342"/>
      <c r="AN24" s="82"/>
      <c r="AO24" s="305"/>
      <c r="AP24" s="306"/>
      <c r="AQ24" s="306"/>
      <c r="AR24" s="306"/>
      <c r="AS24" s="306"/>
      <c r="AT24" s="307"/>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282"/>
      <c r="C25" s="282"/>
      <c r="D25" s="283"/>
      <c r="E25" s="323"/>
      <c r="F25" s="324"/>
      <c r="G25" s="324"/>
      <c r="H25" s="324"/>
      <c r="I25" s="325"/>
      <c r="J25" s="349"/>
      <c r="K25" s="350"/>
      <c r="L25" s="350"/>
      <c r="M25" s="350"/>
      <c r="N25" s="350"/>
      <c r="O25" s="351"/>
      <c r="P25" s="349"/>
      <c r="Q25" s="350"/>
      <c r="R25" s="350"/>
      <c r="S25" s="350"/>
      <c r="T25" s="350"/>
      <c r="U25" s="351"/>
      <c r="V25" s="349"/>
      <c r="W25" s="350"/>
      <c r="X25" s="350"/>
      <c r="Y25" s="350"/>
      <c r="Z25" s="350"/>
      <c r="AA25" s="351"/>
      <c r="AB25" s="333"/>
      <c r="AC25" s="329"/>
      <c r="AD25" s="329"/>
      <c r="AE25" s="329"/>
      <c r="AF25" s="329"/>
      <c r="AG25" s="330"/>
      <c r="AH25" s="340"/>
      <c r="AI25" s="341"/>
      <c r="AJ25" s="341"/>
      <c r="AK25" s="341"/>
      <c r="AL25" s="341"/>
      <c r="AM25" s="342"/>
      <c r="AN25" s="82"/>
      <c r="AO25" s="305"/>
      <c r="AP25" s="306"/>
      <c r="AQ25" s="306"/>
      <c r="AR25" s="306"/>
      <c r="AS25" s="306"/>
      <c r="AT25" s="307"/>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282"/>
      <c r="C26" s="282"/>
      <c r="D26" s="283"/>
      <c r="E26" s="323"/>
      <c r="F26" s="324"/>
      <c r="G26" s="324"/>
      <c r="H26" s="324"/>
      <c r="I26" s="325"/>
      <c r="J26" s="349" t="str">
        <f>IF(AND('Mapa final'!$H$46="Media",'Mapa final'!$L$46="Leve"),CONCATENATE("R",'Mapa final'!$A$46),"")</f>
        <v/>
      </c>
      <c r="K26" s="350"/>
      <c r="L26" s="350" t="str">
        <f>IF(AND('Mapa final'!$H$52="Media",'Mapa final'!$L$52="Leve"),CONCATENATE("R",'Mapa final'!$A$52),"")</f>
        <v/>
      </c>
      <c r="M26" s="350"/>
      <c r="N26" s="350" t="str">
        <f>IF(AND('Mapa final'!$H$58="Media",'Mapa final'!$L$58="Leve"),CONCATENATE("R",'Mapa final'!$A$58),"")</f>
        <v/>
      </c>
      <c r="O26" s="351"/>
      <c r="P26" s="349" t="str">
        <f>IF(AND('Mapa final'!$H$46="Media",'Mapa final'!$L$46="Menor"),CONCATENATE("R",'Mapa final'!$A$46),"")</f>
        <v/>
      </c>
      <c r="Q26" s="350"/>
      <c r="R26" s="350" t="str">
        <f>IF(AND('Mapa final'!$H$52="Media",'Mapa final'!$L$52="Menor"),CONCATENATE("R",'Mapa final'!$A$52),"")</f>
        <v/>
      </c>
      <c r="S26" s="350"/>
      <c r="T26" s="350" t="str">
        <f>IF(AND('Mapa final'!$H$58="Media",'Mapa final'!$L$58="Menor"),CONCATENATE("R",'Mapa final'!$A$58),"")</f>
        <v/>
      </c>
      <c r="U26" s="351"/>
      <c r="V26" s="349" t="str">
        <f>IF(AND('Mapa final'!$H$46="Media",'Mapa final'!$L$46="Moderado"),CONCATENATE("R",'Mapa final'!$A$46),"")</f>
        <v/>
      </c>
      <c r="W26" s="350"/>
      <c r="X26" s="350" t="str">
        <f>IF(AND('Mapa final'!$H$52="Media",'Mapa final'!$L$52="Moderado"),CONCATENATE("R",'Mapa final'!$A$52),"")</f>
        <v/>
      </c>
      <c r="Y26" s="350"/>
      <c r="Z26" s="350" t="str">
        <f>IF(AND('Mapa final'!$H$58="Media",'Mapa final'!$L$58="Moderado"),CONCATENATE("R",'Mapa final'!$A$58),"")</f>
        <v/>
      </c>
      <c r="AA26" s="351"/>
      <c r="AB26" s="333" t="str">
        <f>IF(AND('Mapa final'!$H$46="Media",'Mapa final'!$L$46="Mayor"),CONCATENATE("R",'Mapa final'!$A$46),"")</f>
        <v/>
      </c>
      <c r="AC26" s="329"/>
      <c r="AD26" s="329" t="str">
        <f>IF(AND('Mapa final'!$H$52="Media",'Mapa final'!$L$52="Mayor"),CONCATENATE("R",'Mapa final'!$A$52),"")</f>
        <v/>
      </c>
      <c r="AE26" s="329"/>
      <c r="AF26" s="329" t="str">
        <f>IF(AND('Mapa final'!$H$58="Media",'Mapa final'!$L$58="Mayor"),CONCATENATE("R",'Mapa final'!$A$58),"")</f>
        <v/>
      </c>
      <c r="AG26" s="330"/>
      <c r="AH26" s="340" t="str">
        <f>IF(AND('Mapa final'!$H$46="Media",'Mapa final'!$L$46="Catastrófico"),CONCATENATE("R",'Mapa final'!$A$46),"")</f>
        <v/>
      </c>
      <c r="AI26" s="341"/>
      <c r="AJ26" s="341" t="str">
        <f>IF(AND('Mapa final'!$H$52="Media",'Mapa final'!$L$52="Catastrófico"),CONCATENATE("R",'Mapa final'!$A$52),"")</f>
        <v/>
      </c>
      <c r="AK26" s="341"/>
      <c r="AL26" s="341" t="str">
        <f>IF(AND('Mapa final'!$H$58="Media",'Mapa final'!$L$58="Catastrófico"),CONCATENATE("R",'Mapa final'!$A$58),"")</f>
        <v/>
      </c>
      <c r="AM26" s="342"/>
      <c r="AN26" s="82"/>
      <c r="AO26" s="305"/>
      <c r="AP26" s="306"/>
      <c r="AQ26" s="306"/>
      <c r="AR26" s="306"/>
      <c r="AS26" s="306"/>
      <c r="AT26" s="307"/>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282"/>
      <c r="C27" s="282"/>
      <c r="D27" s="283"/>
      <c r="E27" s="323"/>
      <c r="F27" s="324"/>
      <c r="G27" s="324"/>
      <c r="H27" s="324"/>
      <c r="I27" s="325"/>
      <c r="J27" s="349"/>
      <c r="K27" s="350"/>
      <c r="L27" s="350"/>
      <c r="M27" s="350"/>
      <c r="N27" s="350"/>
      <c r="O27" s="351"/>
      <c r="P27" s="349"/>
      <c r="Q27" s="350"/>
      <c r="R27" s="350"/>
      <c r="S27" s="350"/>
      <c r="T27" s="350"/>
      <c r="U27" s="351"/>
      <c r="V27" s="349"/>
      <c r="W27" s="350"/>
      <c r="X27" s="350"/>
      <c r="Y27" s="350"/>
      <c r="Z27" s="350"/>
      <c r="AA27" s="351"/>
      <c r="AB27" s="333"/>
      <c r="AC27" s="329"/>
      <c r="AD27" s="329"/>
      <c r="AE27" s="329"/>
      <c r="AF27" s="329"/>
      <c r="AG27" s="330"/>
      <c r="AH27" s="340"/>
      <c r="AI27" s="341"/>
      <c r="AJ27" s="341"/>
      <c r="AK27" s="341"/>
      <c r="AL27" s="341"/>
      <c r="AM27" s="342"/>
      <c r="AN27" s="82"/>
      <c r="AO27" s="305"/>
      <c r="AP27" s="306"/>
      <c r="AQ27" s="306"/>
      <c r="AR27" s="306"/>
      <c r="AS27" s="306"/>
      <c r="AT27" s="307"/>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282"/>
      <c r="C28" s="282"/>
      <c r="D28" s="283"/>
      <c r="E28" s="323"/>
      <c r="F28" s="324"/>
      <c r="G28" s="324"/>
      <c r="H28" s="324"/>
      <c r="I28" s="325"/>
      <c r="J28" s="349" t="str">
        <f>IF(AND('Mapa final'!$H$64="Media",'Mapa final'!$L$64="Leve"),CONCATENATE("R",'Mapa final'!$A$64),"")</f>
        <v/>
      </c>
      <c r="K28" s="350"/>
      <c r="L28" s="350" t="str">
        <f>IF(AND('Mapa final'!$H$70="Media",'Mapa final'!$L$70="Leve"),CONCATENATE("R",'Mapa final'!$A$70),"")</f>
        <v/>
      </c>
      <c r="M28" s="350"/>
      <c r="N28" s="350" t="str">
        <f>IF(AND('Mapa final'!$H$76="Media",'Mapa final'!$L$76="Leve"),CONCATENATE("R",'Mapa final'!$A$76),"")</f>
        <v/>
      </c>
      <c r="O28" s="351"/>
      <c r="P28" s="349" t="str">
        <f>IF(AND('Mapa final'!$H$64="Media",'Mapa final'!$L$64="Menor"),CONCATENATE("R",'Mapa final'!$A$64),"")</f>
        <v/>
      </c>
      <c r="Q28" s="350"/>
      <c r="R28" s="350" t="str">
        <f>IF(AND('Mapa final'!$H$70="Media",'Mapa final'!$L$70="Menor"),CONCATENATE("R",'Mapa final'!$A$70),"")</f>
        <v/>
      </c>
      <c r="S28" s="350"/>
      <c r="T28" s="350" t="str">
        <f>IF(AND('Mapa final'!$H$76="Media",'Mapa final'!$L$76="Menor"),CONCATENATE("R",'Mapa final'!$A$76),"")</f>
        <v/>
      </c>
      <c r="U28" s="351"/>
      <c r="V28" s="349" t="str">
        <f>IF(AND('Mapa final'!$H$64="Media",'Mapa final'!$L$64="Moderado"),CONCATENATE("R",'Mapa final'!$A$64),"")</f>
        <v/>
      </c>
      <c r="W28" s="350"/>
      <c r="X28" s="350" t="str">
        <f>IF(AND('Mapa final'!$H$70="Media",'Mapa final'!$L$70="Moderado"),CONCATENATE("R",'Mapa final'!$A$70),"")</f>
        <v/>
      </c>
      <c r="Y28" s="350"/>
      <c r="Z28" s="350" t="str">
        <f>IF(AND('Mapa final'!$H$76="Media",'Mapa final'!$L$76="Moderado"),CONCATENATE("R",'Mapa final'!$A$76),"")</f>
        <v/>
      </c>
      <c r="AA28" s="351"/>
      <c r="AB28" s="333" t="str">
        <f>IF(AND('Mapa final'!$H$64="Media",'Mapa final'!$L$64="Mayor"),CONCATENATE("R",'Mapa final'!$A$64),"")</f>
        <v/>
      </c>
      <c r="AC28" s="329"/>
      <c r="AD28" s="329" t="str">
        <f>IF(AND('Mapa final'!$H$70="Media",'Mapa final'!$L$70="Mayor"),CONCATENATE("R",'Mapa final'!$A$70),"")</f>
        <v/>
      </c>
      <c r="AE28" s="329"/>
      <c r="AF28" s="329" t="str">
        <f>IF(AND('Mapa final'!$H$76="Media",'Mapa final'!$L$76="Mayor"),CONCATENATE("R",'Mapa final'!$A$76),"")</f>
        <v/>
      </c>
      <c r="AG28" s="330"/>
      <c r="AH28" s="340" t="str">
        <f>IF(AND('Mapa final'!$H$64="Media",'Mapa final'!$L$64="Catastrófico"),CONCATENATE("R",'Mapa final'!$A$64),"")</f>
        <v/>
      </c>
      <c r="AI28" s="341"/>
      <c r="AJ28" s="341" t="str">
        <f>IF(AND('Mapa final'!$H$70="Media",'Mapa final'!$L$70="Catastrófico"),CONCATENATE("R",'Mapa final'!$A$70),"")</f>
        <v/>
      </c>
      <c r="AK28" s="341"/>
      <c r="AL28" s="341" t="str">
        <f>IF(AND('Mapa final'!$H$76="Media",'Mapa final'!$L$76="Catastrófico"),CONCATENATE("R",'Mapa final'!$A$76),"")</f>
        <v/>
      </c>
      <c r="AM28" s="342"/>
      <c r="AN28" s="82"/>
      <c r="AO28" s="305"/>
      <c r="AP28" s="306"/>
      <c r="AQ28" s="306"/>
      <c r="AR28" s="306"/>
      <c r="AS28" s="306"/>
      <c r="AT28" s="307"/>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282"/>
      <c r="C29" s="282"/>
      <c r="D29" s="283"/>
      <c r="E29" s="326"/>
      <c r="F29" s="327"/>
      <c r="G29" s="327"/>
      <c r="H29" s="327"/>
      <c r="I29" s="328"/>
      <c r="J29" s="349"/>
      <c r="K29" s="350"/>
      <c r="L29" s="350"/>
      <c r="M29" s="350"/>
      <c r="N29" s="350"/>
      <c r="O29" s="351"/>
      <c r="P29" s="352"/>
      <c r="Q29" s="353"/>
      <c r="R29" s="353"/>
      <c r="S29" s="353"/>
      <c r="T29" s="353"/>
      <c r="U29" s="354"/>
      <c r="V29" s="352"/>
      <c r="W29" s="353"/>
      <c r="X29" s="353"/>
      <c r="Y29" s="353"/>
      <c r="Z29" s="353"/>
      <c r="AA29" s="354"/>
      <c r="AB29" s="337"/>
      <c r="AC29" s="338"/>
      <c r="AD29" s="338"/>
      <c r="AE29" s="338"/>
      <c r="AF29" s="338"/>
      <c r="AG29" s="339"/>
      <c r="AH29" s="343"/>
      <c r="AI29" s="344"/>
      <c r="AJ29" s="344"/>
      <c r="AK29" s="344"/>
      <c r="AL29" s="344"/>
      <c r="AM29" s="345"/>
      <c r="AN29" s="82"/>
      <c r="AO29" s="308"/>
      <c r="AP29" s="309"/>
      <c r="AQ29" s="309"/>
      <c r="AR29" s="309"/>
      <c r="AS29" s="309"/>
      <c r="AT29" s="31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282"/>
      <c r="C30" s="282"/>
      <c r="D30" s="283"/>
      <c r="E30" s="320" t="s">
        <v>113</v>
      </c>
      <c r="F30" s="321"/>
      <c r="G30" s="321"/>
      <c r="H30" s="321"/>
      <c r="I30" s="321"/>
      <c r="J30" s="364" t="str">
        <f>IF(AND('Mapa final'!$H$10="Baja",'Mapa final'!$L$10="Leve"),CONCATENATE("R",'Mapa final'!$A$10),"")</f>
        <v/>
      </c>
      <c r="K30" s="365"/>
      <c r="L30" s="365" t="str">
        <f>IF(AND('Mapa final'!$H$16="Baja",'Mapa final'!$L$16="Leve"),CONCATENATE("R",'Mapa final'!$A$16),"")</f>
        <v/>
      </c>
      <c r="M30" s="365"/>
      <c r="N30" s="365" t="str">
        <f>IF(AND('Mapa final'!$H$22="Baja",'Mapa final'!$L$22="Leve"),CONCATENATE("R",'Mapa final'!$A$22),"")</f>
        <v/>
      </c>
      <c r="O30" s="366"/>
      <c r="P30" s="356" t="str">
        <f>IF(AND('Mapa final'!$H$10="Baja",'Mapa final'!$L$10="Menor"),CONCATENATE("R",'Mapa final'!$A$10),"")</f>
        <v/>
      </c>
      <c r="Q30" s="356"/>
      <c r="R30" s="356" t="str">
        <f>IF(AND('Mapa final'!$H$16="Baja",'Mapa final'!$L$16="Menor"),CONCATENATE("R",'Mapa final'!$A$16),"")</f>
        <v/>
      </c>
      <c r="S30" s="356"/>
      <c r="T30" s="356" t="str">
        <f>IF(AND('Mapa final'!$H$22="Baja",'Mapa final'!$L$22="Menor"),CONCATENATE("R",'Mapa final'!$A$22),"")</f>
        <v/>
      </c>
      <c r="U30" s="357"/>
      <c r="V30" s="355" t="str">
        <f>IF(AND('Mapa final'!$H$10="Baja",'Mapa final'!$L$10="Moderado"),CONCATENATE("R",'Mapa final'!$A$10),"")</f>
        <v>R1</v>
      </c>
      <c r="W30" s="356"/>
      <c r="X30" s="356" t="str">
        <f>IF(AND('Mapa final'!$H$16="Baja",'Mapa final'!$L$16="Moderado"),CONCATENATE("R",'Mapa final'!$A$16),"")</f>
        <v/>
      </c>
      <c r="Y30" s="356"/>
      <c r="Z30" s="356" t="str">
        <f>IF(AND('Mapa final'!$H$22="Baja",'Mapa final'!$L$22="Moderado"),CONCATENATE("R",'Mapa final'!$A$22),"")</f>
        <v>R3</v>
      </c>
      <c r="AA30" s="357"/>
      <c r="AB30" s="331" t="str">
        <f>IF(AND('Mapa final'!$H$10="Baja",'Mapa final'!$L$10="Mayor"),CONCATENATE("R",'Mapa final'!$A$10),"")</f>
        <v/>
      </c>
      <c r="AC30" s="332"/>
      <c r="AD30" s="332" t="str">
        <f>IF(AND('Mapa final'!$H$16="Baja",'Mapa final'!$L$16="Mayor"),CONCATENATE("R",'Mapa final'!$A$16),"")</f>
        <v/>
      </c>
      <c r="AE30" s="332"/>
      <c r="AF30" s="332" t="str">
        <f>IF(AND('Mapa final'!$H$22="Baja",'Mapa final'!$L$22="Mayor"),CONCATENATE("R",'Mapa final'!$A$22),"")</f>
        <v/>
      </c>
      <c r="AG30" s="334"/>
      <c r="AH30" s="346" t="str">
        <f>IF(AND('Mapa final'!$H$10="Baja",'Mapa final'!$L$10="Catastrófico"),CONCATENATE("R",'Mapa final'!$A$10),"")</f>
        <v/>
      </c>
      <c r="AI30" s="347"/>
      <c r="AJ30" s="347" t="str">
        <f>IF(AND('Mapa final'!$H$16="Baja",'Mapa final'!$L$16="Catastrófico"),CONCATENATE("R",'Mapa final'!$A$16),"")</f>
        <v/>
      </c>
      <c r="AK30" s="347"/>
      <c r="AL30" s="347" t="str">
        <f>IF(AND('Mapa final'!$H$22="Baja",'Mapa final'!$L$22="Catastrófico"),CONCATENATE("R",'Mapa final'!$A$22),"")</f>
        <v/>
      </c>
      <c r="AM30" s="348"/>
      <c r="AN30" s="82"/>
      <c r="AO30" s="311" t="s">
        <v>81</v>
      </c>
      <c r="AP30" s="312"/>
      <c r="AQ30" s="312"/>
      <c r="AR30" s="312"/>
      <c r="AS30" s="312"/>
      <c r="AT30" s="313"/>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282"/>
      <c r="C31" s="282"/>
      <c r="D31" s="283"/>
      <c r="E31" s="323"/>
      <c r="F31" s="324"/>
      <c r="G31" s="324"/>
      <c r="H31" s="324"/>
      <c r="I31" s="324"/>
      <c r="J31" s="360"/>
      <c r="K31" s="358"/>
      <c r="L31" s="358"/>
      <c r="M31" s="358"/>
      <c r="N31" s="358"/>
      <c r="O31" s="359"/>
      <c r="P31" s="350"/>
      <c r="Q31" s="350"/>
      <c r="R31" s="350"/>
      <c r="S31" s="350"/>
      <c r="T31" s="350"/>
      <c r="U31" s="351"/>
      <c r="V31" s="349"/>
      <c r="W31" s="350"/>
      <c r="X31" s="350"/>
      <c r="Y31" s="350"/>
      <c r="Z31" s="350"/>
      <c r="AA31" s="351"/>
      <c r="AB31" s="333"/>
      <c r="AC31" s="329"/>
      <c r="AD31" s="329"/>
      <c r="AE31" s="329"/>
      <c r="AF31" s="329"/>
      <c r="AG31" s="330"/>
      <c r="AH31" s="340"/>
      <c r="AI31" s="341"/>
      <c r="AJ31" s="341"/>
      <c r="AK31" s="341"/>
      <c r="AL31" s="341"/>
      <c r="AM31" s="342"/>
      <c r="AN31" s="82"/>
      <c r="AO31" s="314"/>
      <c r="AP31" s="315"/>
      <c r="AQ31" s="315"/>
      <c r="AR31" s="315"/>
      <c r="AS31" s="315"/>
      <c r="AT31" s="316"/>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282"/>
      <c r="C32" s="282"/>
      <c r="D32" s="283"/>
      <c r="E32" s="323"/>
      <c r="F32" s="324"/>
      <c r="G32" s="324"/>
      <c r="H32" s="324"/>
      <c r="I32" s="324"/>
      <c r="J32" s="360" t="str">
        <f>IF(AND('Mapa final'!$H$28="Baja",'Mapa final'!$L$28="Leve"),CONCATENATE("R",'Mapa final'!$A$28),"")</f>
        <v/>
      </c>
      <c r="K32" s="358"/>
      <c r="L32" s="358" t="str">
        <f>IF(AND('Mapa final'!$H$34="Baja",'Mapa final'!$L$34="Leve"),CONCATENATE("R",'Mapa final'!$A$34),"")</f>
        <v/>
      </c>
      <c r="M32" s="358"/>
      <c r="N32" s="358" t="str">
        <f>IF(AND('Mapa final'!$H$40="Baja",'Mapa final'!$L$40="Leve"),CONCATENATE("R",'Mapa final'!$A$40),"")</f>
        <v/>
      </c>
      <c r="O32" s="359"/>
      <c r="P32" s="350" t="str">
        <f>IF(AND('Mapa final'!$H$28="Baja",'Mapa final'!$L$28="Menor"),CONCATENATE("R",'Mapa final'!$A$28),"")</f>
        <v/>
      </c>
      <c r="Q32" s="350"/>
      <c r="R32" s="350" t="str">
        <f>IF(AND('Mapa final'!$H$34="Baja",'Mapa final'!$L$34="Menor"),CONCATENATE("R",'Mapa final'!$A$34),"")</f>
        <v/>
      </c>
      <c r="S32" s="350"/>
      <c r="T32" s="350" t="str">
        <f>IF(AND('Mapa final'!$H$40="Baja",'Mapa final'!$L$40="Menor"),CONCATENATE("R",'Mapa final'!$A$40),"")</f>
        <v/>
      </c>
      <c r="U32" s="351"/>
      <c r="V32" s="349" t="str">
        <f>IF(AND('Mapa final'!$H$28="Baja",'Mapa final'!$L$28="Moderado"),CONCATENATE("R",'Mapa final'!$A$28),"")</f>
        <v/>
      </c>
      <c r="W32" s="350"/>
      <c r="X32" s="350" t="str">
        <f>IF(AND('Mapa final'!$H$34="Baja",'Mapa final'!$L$34="Moderado"),CONCATENATE("R",'Mapa final'!$A$34),"")</f>
        <v/>
      </c>
      <c r="Y32" s="350"/>
      <c r="Z32" s="350" t="str">
        <f>IF(AND('Mapa final'!$H$40="Baja",'Mapa final'!$L$40="Moderado"),CONCATENATE("R",'Mapa final'!$A$40),"")</f>
        <v/>
      </c>
      <c r="AA32" s="351"/>
      <c r="AB32" s="333" t="str">
        <f>IF(AND('Mapa final'!$H$28="Baja",'Mapa final'!$L$28="Mayor"),CONCATENATE("R",'Mapa final'!$A$28),"")</f>
        <v/>
      </c>
      <c r="AC32" s="329"/>
      <c r="AD32" s="329" t="str">
        <f>IF(AND('Mapa final'!$H$34="Baja",'Mapa final'!$L$34="Mayor"),CONCATENATE("R",'Mapa final'!$A$34),"")</f>
        <v/>
      </c>
      <c r="AE32" s="329"/>
      <c r="AF32" s="329" t="str">
        <f>IF(AND('Mapa final'!$H$40="Baja",'Mapa final'!$L$40="Mayor"),CONCATENATE("R",'Mapa final'!$A$40),"")</f>
        <v/>
      </c>
      <c r="AG32" s="330"/>
      <c r="AH32" s="340" t="str">
        <f>IF(AND('Mapa final'!$H$28="Baja",'Mapa final'!$L$28="Catastrófico"),CONCATENATE("R",'Mapa final'!$A$28),"")</f>
        <v/>
      </c>
      <c r="AI32" s="341"/>
      <c r="AJ32" s="341" t="str">
        <f>IF(AND('Mapa final'!$H$34="Baja",'Mapa final'!$L$34="Catastrófico"),CONCATENATE("R",'Mapa final'!$A$34),"")</f>
        <v/>
      </c>
      <c r="AK32" s="341"/>
      <c r="AL32" s="341" t="str">
        <f>IF(AND('Mapa final'!$H$40="Baja",'Mapa final'!$L$40="Catastrófico"),CONCATENATE("R",'Mapa final'!$A$40),"")</f>
        <v/>
      </c>
      <c r="AM32" s="342"/>
      <c r="AN32" s="82"/>
      <c r="AO32" s="314"/>
      <c r="AP32" s="315"/>
      <c r="AQ32" s="315"/>
      <c r="AR32" s="315"/>
      <c r="AS32" s="315"/>
      <c r="AT32" s="316"/>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282"/>
      <c r="C33" s="282"/>
      <c r="D33" s="283"/>
      <c r="E33" s="323"/>
      <c r="F33" s="324"/>
      <c r="G33" s="324"/>
      <c r="H33" s="324"/>
      <c r="I33" s="324"/>
      <c r="J33" s="360"/>
      <c r="K33" s="358"/>
      <c r="L33" s="358"/>
      <c r="M33" s="358"/>
      <c r="N33" s="358"/>
      <c r="O33" s="359"/>
      <c r="P33" s="350"/>
      <c r="Q33" s="350"/>
      <c r="R33" s="350"/>
      <c r="S33" s="350"/>
      <c r="T33" s="350"/>
      <c r="U33" s="351"/>
      <c r="V33" s="349"/>
      <c r="W33" s="350"/>
      <c r="X33" s="350"/>
      <c r="Y33" s="350"/>
      <c r="Z33" s="350"/>
      <c r="AA33" s="351"/>
      <c r="AB33" s="333"/>
      <c r="AC33" s="329"/>
      <c r="AD33" s="329"/>
      <c r="AE33" s="329"/>
      <c r="AF33" s="329"/>
      <c r="AG33" s="330"/>
      <c r="AH33" s="340"/>
      <c r="AI33" s="341"/>
      <c r="AJ33" s="341"/>
      <c r="AK33" s="341"/>
      <c r="AL33" s="341"/>
      <c r="AM33" s="342"/>
      <c r="AN33" s="82"/>
      <c r="AO33" s="314"/>
      <c r="AP33" s="315"/>
      <c r="AQ33" s="315"/>
      <c r="AR33" s="315"/>
      <c r="AS33" s="315"/>
      <c r="AT33" s="316"/>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282"/>
      <c r="C34" s="282"/>
      <c r="D34" s="283"/>
      <c r="E34" s="323"/>
      <c r="F34" s="324"/>
      <c r="G34" s="324"/>
      <c r="H34" s="324"/>
      <c r="I34" s="324"/>
      <c r="J34" s="360" t="str">
        <f>IF(AND('Mapa final'!$H$46="Baja",'Mapa final'!$L$46="Leve"),CONCATENATE("R",'Mapa final'!$A$46),"")</f>
        <v/>
      </c>
      <c r="K34" s="358"/>
      <c r="L34" s="358" t="str">
        <f>IF(AND('Mapa final'!$H$52="Baja",'Mapa final'!$L$52="Leve"),CONCATENATE("R",'Mapa final'!$A$52),"")</f>
        <v/>
      </c>
      <c r="M34" s="358"/>
      <c r="N34" s="358" t="str">
        <f>IF(AND('Mapa final'!$H$58="Baja",'Mapa final'!$L$58="Leve"),CONCATENATE("R",'Mapa final'!$A$58),"")</f>
        <v/>
      </c>
      <c r="O34" s="359"/>
      <c r="P34" s="350" t="str">
        <f>IF(AND('Mapa final'!$H$46="Baja",'Mapa final'!$L$46="Menor"),CONCATENATE("R",'Mapa final'!$A$46),"")</f>
        <v/>
      </c>
      <c r="Q34" s="350"/>
      <c r="R34" s="350" t="str">
        <f>IF(AND('Mapa final'!$H$52="Baja",'Mapa final'!$L$52="Menor"),CONCATENATE("R",'Mapa final'!$A$52),"")</f>
        <v/>
      </c>
      <c r="S34" s="350"/>
      <c r="T34" s="350" t="str">
        <f>IF(AND('Mapa final'!$H$58="Baja",'Mapa final'!$L$58="Menor"),CONCATENATE("R",'Mapa final'!$A$58),"")</f>
        <v/>
      </c>
      <c r="U34" s="351"/>
      <c r="V34" s="349" t="str">
        <f>IF(AND('Mapa final'!$H$46="Baja",'Mapa final'!$L$46="Moderado"),CONCATENATE("R",'Mapa final'!$A$46),"")</f>
        <v/>
      </c>
      <c r="W34" s="350"/>
      <c r="X34" s="350" t="str">
        <f>IF(AND('Mapa final'!$H$52="Baja",'Mapa final'!$L$52="Moderado"),CONCATENATE("R",'Mapa final'!$A$52),"")</f>
        <v/>
      </c>
      <c r="Y34" s="350"/>
      <c r="Z34" s="350" t="str">
        <f>IF(AND('Mapa final'!$H$58="Baja",'Mapa final'!$L$58="Moderado"),CONCATENATE("R",'Mapa final'!$A$58),"")</f>
        <v/>
      </c>
      <c r="AA34" s="351"/>
      <c r="AB34" s="333" t="str">
        <f>IF(AND('Mapa final'!$H$46="Baja",'Mapa final'!$L$46="Mayor"),CONCATENATE("R",'Mapa final'!$A$46),"")</f>
        <v/>
      </c>
      <c r="AC34" s="329"/>
      <c r="AD34" s="329" t="str">
        <f>IF(AND('Mapa final'!$H$52="Baja",'Mapa final'!$L$52="Mayor"),CONCATENATE("R",'Mapa final'!$A$52),"")</f>
        <v/>
      </c>
      <c r="AE34" s="329"/>
      <c r="AF34" s="329" t="str">
        <f>IF(AND('Mapa final'!$H$58="Baja",'Mapa final'!$L$58="Mayor"),CONCATENATE("R",'Mapa final'!$A$58),"")</f>
        <v/>
      </c>
      <c r="AG34" s="330"/>
      <c r="AH34" s="340" t="str">
        <f>IF(AND('Mapa final'!$H$46="Baja",'Mapa final'!$L$46="Catastrófico"),CONCATENATE("R",'Mapa final'!$A$46),"")</f>
        <v/>
      </c>
      <c r="AI34" s="341"/>
      <c r="AJ34" s="341" t="str">
        <f>IF(AND('Mapa final'!$H$52="Baja",'Mapa final'!$L$52="Catastrófico"),CONCATENATE("R",'Mapa final'!$A$52),"")</f>
        <v/>
      </c>
      <c r="AK34" s="341"/>
      <c r="AL34" s="341" t="str">
        <f>IF(AND('Mapa final'!$H$58="Baja",'Mapa final'!$L$58="Catastrófico"),CONCATENATE("R",'Mapa final'!$A$58),"")</f>
        <v/>
      </c>
      <c r="AM34" s="342"/>
      <c r="AN34" s="82"/>
      <c r="AO34" s="314"/>
      <c r="AP34" s="315"/>
      <c r="AQ34" s="315"/>
      <c r="AR34" s="315"/>
      <c r="AS34" s="315"/>
      <c r="AT34" s="316"/>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282"/>
      <c r="C35" s="282"/>
      <c r="D35" s="283"/>
      <c r="E35" s="323"/>
      <c r="F35" s="324"/>
      <c r="G35" s="324"/>
      <c r="H35" s="324"/>
      <c r="I35" s="324"/>
      <c r="J35" s="360"/>
      <c r="K35" s="358"/>
      <c r="L35" s="358"/>
      <c r="M35" s="358"/>
      <c r="N35" s="358"/>
      <c r="O35" s="359"/>
      <c r="P35" s="350"/>
      <c r="Q35" s="350"/>
      <c r="R35" s="350"/>
      <c r="S35" s="350"/>
      <c r="T35" s="350"/>
      <c r="U35" s="351"/>
      <c r="V35" s="349"/>
      <c r="W35" s="350"/>
      <c r="X35" s="350"/>
      <c r="Y35" s="350"/>
      <c r="Z35" s="350"/>
      <c r="AA35" s="351"/>
      <c r="AB35" s="333"/>
      <c r="AC35" s="329"/>
      <c r="AD35" s="329"/>
      <c r="AE35" s="329"/>
      <c r="AF35" s="329"/>
      <c r="AG35" s="330"/>
      <c r="AH35" s="340"/>
      <c r="AI35" s="341"/>
      <c r="AJ35" s="341"/>
      <c r="AK35" s="341"/>
      <c r="AL35" s="341"/>
      <c r="AM35" s="342"/>
      <c r="AN35" s="82"/>
      <c r="AO35" s="314"/>
      <c r="AP35" s="315"/>
      <c r="AQ35" s="315"/>
      <c r="AR35" s="315"/>
      <c r="AS35" s="315"/>
      <c r="AT35" s="316"/>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282"/>
      <c r="C36" s="282"/>
      <c r="D36" s="283"/>
      <c r="E36" s="323"/>
      <c r="F36" s="324"/>
      <c r="G36" s="324"/>
      <c r="H36" s="324"/>
      <c r="I36" s="324"/>
      <c r="J36" s="360" t="str">
        <f>IF(AND('Mapa final'!$H$64="Baja",'Mapa final'!$L$64="Leve"),CONCATENATE("R",'Mapa final'!$A$64),"")</f>
        <v/>
      </c>
      <c r="K36" s="358"/>
      <c r="L36" s="358" t="str">
        <f>IF(AND('Mapa final'!$H$70="Baja",'Mapa final'!$L$70="Leve"),CONCATENATE("R",'Mapa final'!$A$70),"")</f>
        <v/>
      </c>
      <c r="M36" s="358"/>
      <c r="N36" s="358" t="str">
        <f>IF(AND('Mapa final'!$H$76="Baja",'Mapa final'!$L$76="Leve"),CONCATENATE("R",'Mapa final'!$A$76),"")</f>
        <v/>
      </c>
      <c r="O36" s="359"/>
      <c r="P36" s="350" t="str">
        <f>IF(AND('Mapa final'!$H$64="Baja",'Mapa final'!$L$64="Menor"),CONCATENATE("R",'Mapa final'!$A$64),"")</f>
        <v/>
      </c>
      <c r="Q36" s="350"/>
      <c r="R36" s="350" t="str">
        <f>IF(AND('Mapa final'!$H$70="Baja",'Mapa final'!$L$70="Menor"),CONCATENATE("R",'Mapa final'!$A$70),"")</f>
        <v/>
      </c>
      <c r="S36" s="350"/>
      <c r="T36" s="350" t="str">
        <f>IF(AND('Mapa final'!$H$76="Baja",'Mapa final'!$L$76="Menor"),CONCATENATE("R",'Mapa final'!$A$76),"")</f>
        <v/>
      </c>
      <c r="U36" s="351"/>
      <c r="V36" s="349" t="str">
        <f>IF(AND('Mapa final'!$H$64="Baja",'Mapa final'!$L$64="Moderado"),CONCATENATE("R",'Mapa final'!$A$64),"")</f>
        <v/>
      </c>
      <c r="W36" s="350"/>
      <c r="X36" s="350" t="str">
        <f>IF(AND('Mapa final'!$H$70="Baja",'Mapa final'!$L$70="Moderado"),CONCATENATE("R",'Mapa final'!$A$70),"")</f>
        <v/>
      </c>
      <c r="Y36" s="350"/>
      <c r="Z36" s="350" t="str">
        <f>IF(AND('Mapa final'!$H$76="Baja",'Mapa final'!$L$76="Moderado"),CONCATENATE("R",'Mapa final'!$A$76),"")</f>
        <v/>
      </c>
      <c r="AA36" s="351"/>
      <c r="AB36" s="333" t="str">
        <f>IF(AND('Mapa final'!$H$64="Baja",'Mapa final'!$L$64="Mayor"),CONCATENATE("R",'Mapa final'!$A$64),"")</f>
        <v/>
      </c>
      <c r="AC36" s="329"/>
      <c r="AD36" s="329" t="str">
        <f>IF(AND('Mapa final'!$H$70="Baja",'Mapa final'!$L$70="Mayor"),CONCATENATE("R",'Mapa final'!$A$70),"")</f>
        <v/>
      </c>
      <c r="AE36" s="329"/>
      <c r="AF36" s="329" t="str">
        <f>IF(AND('Mapa final'!$H$76="Baja",'Mapa final'!$L$76="Mayor"),CONCATENATE("R",'Mapa final'!$A$76),"")</f>
        <v/>
      </c>
      <c r="AG36" s="330"/>
      <c r="AH36" s="340" t="str">
        <f>IF(AND('Mapa final'!$H$64="Baja",'Mapa final'!$L$64="Catastrófico"),CONCATENATE("R",'Mapa final'!$A$64),"")</f>
        <v/>
      </c>
      <c r="AI36" s="341"/>
      <c r="AJ36" s="341" t="str">
        <f>IF(AND('Mapa final'!$H$70="Baja",'Mapa final'!$L$70="Catastrófico"),CONCATENATE("R",'Mapa final'!$A$70),"")</f>
        <v/>
      </c>
      <c r="AK36" s="341"/>
      <c r="AL36" s="341" t="str">
        <f>IF(AND('Mapa final'!$H$76="Baja",'Mapa final'!$L$76="Catastrófico"),CONCATENATE("R",'Mapa final'!$A$76),"")</f>
        <v/>
      </c>
      <c r="AM36" s="342"/>
      <c r="AN36" s="82"/>
      <c r="AO36" s="314"/>
      <c r="AP36" s="315"/>
      <c r="AQ36" s="315"/>
      <c r="AR36" s="315"/>
      <c r="AS36" s="315"/>
      <c r="AT36" s="316"/>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282"/>
      <c r="C37" s="282"/>
      <c r="D37" s="283"/>
      <c r="E37" s="326"/>
      <c r="F37" s="327"/>
      <c r="G37" s="327"/>
      <c r="H37" s="327"/>
      <c r="I37" s="327"/>
      <c r="J37" s="361"/>
      <c r="K37" s="362"/>
      <c r="L37" s="362"/>
      <c r="M37" s="362"/>
      <c r="N37" s="362"/>
      <c r="O37" s="363"/>
      <c r="P37" s="353"/>
      <c r="Q37" s="353"/>
      <c r="R37" s="353"/>
      <c r="S37" s="353"/>
      <c r="T37" s="353"/>
      <c r="U37" s="354"/>
      <c r="V37" s="352"/>
      <c r="W37" s="353"/>
      <c r="X37" s="353"/>
      <c r="Y37" s="353"/>
      <c r="Z37" s="353"/>
      <c r="AA37" s="354"/>
      <c r="AB37" s="337"/>
      <c r="AC37" s="338"/>
      <c r="AD37" s="338"/>
      <c r="AE37" s="338"/>
      <c r="AF37" s="338"/>
      <c r="AG37" s="339"/>
      <c r="AH37" s="343"/>
      <c r="AI37" s="344"/>
      <c r="AJ37" s="344"/>
      <c r="AK37" s="344"/>
      <c r="AL37" s="344"/>
      <c r="AM37" s="345"/>
      <c r="AN37" s="82"/>
      <c r="AO37" s="317"/>
      <c r="AP37" s="318"/>
      <c r="AQ37" s="318"/>
      <c r="AR37" s="318"/>
      <c r="AS37" s="318"/>
      <c r="AT37" s="319"/>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282"/>
      <c r="C38" s="282"/>
      <c r="D38" s="283"/>
      <c r="E38" s="320" t="s">
        <v>112</v>
      </c>
      <c r="F38" s="321"/>
      <c r="G38" s="321"/>
      <c r="H38" s="321"/>
      <c r="I38" s="322"/>
      <c r="J38" s="364" t="str">
        <f>IF(AND('Mapa final'!$H$10="Muy Baja",'Mapa final'!$L$10="Leve"),CONCATENATE("R",'Mapa final'!$A$10),"")</f>
        <v/>
      </c>
      <c r="K38" s="365"/>
      <c r="L38" s="365" t="str">
        <f>IF(AND('Mapa final'!$H$16="Muy Baja",'Mapa final'!$L$16="Leve"),CONCATENATE("R",'Mapa final'!$A$16),"")</f>
        <v/>
      </c>
      <c r="M38" s="365"/>
      <c r="N38" s="365" t="str">
        <f>IF(AND('Mapa final'!$H$22="Muy Baja",'Mapa final'!$L$22="Leve"),CONCATENATE("R",'Mapa final'!$A$22),"")</f>
        <v/>
      </c>
      <c r="O38" s="366"/>
      <c r="P38" s="364" t="str">
        <f>IF(AND('Mapa final'!$H$10="Muy Baja",'Mapa final'!$L$10="Menor"),CONCATENATE("R",'Mapa final'!$A$10),"")</f>
        <v/>
      </c>
      <c r="Q38" s="365"/>
      <c r="R38" s="365" t="str">
        <f>IF(AND('Mapa final'!$H$16="Muy Baja",'Mapa final'!$L$16="Menor"),CONCATENATE("R",'Mapa final'!$A$16),"")</f>
        <v/>
      </c>
      <c r="S38" s="365"/>
      <c r="T38" s="365" t="str">
        <f>IF(AND('Mapa final'!$H$22="Muy Baja",'Mapa final'!$L$22="Menor"),CONCATENATE("R",'Mapa final'!$A$22),"")</f>
        <v/>
      </c>
      <c r="U38" s="366"/>
      <c r="V38" s="355" t="str">
        <f>IF(AND('Mapa final'!$H$10="Muy Baja",'Mapa final'!$L$10="Moderado"),CONCATENATE("R",'Mapa final'!$A$10),"")</f>
        <v/>
      </c>
      <c r="W38" s="356"/>
      <c r="X38" s="356" t="str">
        <f>IF(AND('Mapa final'!$H$16="Muy Baja",'Mapa final'!$L$16="Moderado"),CONCATENATE("R",'Mapa final'!$A$16),"")</f>
        <v/>
      </c>
      <c r="Y38" s="356"/>
      <c r="Z38" s="356" t="str">
        <f>IF(AND('Mapa final'!$H$22="Muy Baja",'Mapa final'!$L$22="Moderado"),CONCATENATE("R",'Mapa final'!$A$22),"")</f>
        <v/>
      </c>
      <c r="AA38" s="357"/>
      <c r="AB38" s="331" t="str">
        <f>IF(AND('Mapa final'!$H$10="Muy Baja",'Mapa final'!$L$10="Mayor"),CONCATENATE("R",'Mapa final'!$A$10),"")</f>
        <v/>
      </c>
      <c r="AC38" s="332"/>
      <c r="AD38" s="332" t="str">
        <f>IF(AND('Mapa final'!$H$16="Muy Baja",'Mapa final'!$L$16="Mayor"),CONCATENATE("R",'Mapa final'!$A$16),"")</f>
        <v/>
      </c>
      <c r="AE38" s="332"/>
      <c r="AF38" s="332" t="str">
        <f>IF(AND('Mapa final'!$H$22="Muy Baja",'Mapa final'!$L$22="Mayor"),CONCATENATE("R",'Mapa final'!$A$22),"")</f>
        <v/>
      </c>
      <c r="AG38" s="334"/>
      <c r="AH38" s="346" t="str">
        <f>IF(AND('Mapa final'!$H$10="Muy Baja",'Mapa final'!$L$10="Catastrófico"),CONCATENATE("R",'Mapa final'!$A$10),"")</f>
        <v/>
      </c>
      <c r="AI38" s="347"/>
      <c r="AJ38" s="347" t="str">
        <f>IF(AND('Mapa final'!$H$16="Muy Baja",'Mapa final'!$L$16="Catastrófico"),CONCATENATE("R",'Mapa final'!$A$16),"")</f>
        <v/>
      </c>
      <c r="AK38" s="347"/>
      <c r="AL38" s="347" t="str">
        <f>IF(AND('Mapa final'!$H$22="Muy Baja",'Mapa final'!$L$22="Catastrófico"),CONCATENATE("R",'Mapa final'!$A$22),"")</f>
        <v/>
      </c>
      <c r="AM38" s="348"/>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282"/>
      <c r="C39" s="282"/>
      <c r="D39" s="283"/>
      <c r="E39" s="323"/>
      <c r="F39" s="324"/>
      <c r="G39" s="324"/>
      <c r="H39" s="324"/>
      <c r="I39" s="325"/>
      <c r="J39" s="360"/>
      <c r="K39" s="358"/>
      <c r="L39" s="358"/>
      <c r="M39" s="358"/>
      <c r="N39" s="358"/>
      <c r="O39" s="359"/>
      <c r="P39" s="360"/>
      <c r="Q39" s="358"/>
      <c r="R39" s="358"/>
      <c r="S39" s="358"/>
      <c r="T39" s="358"/>
      <c r="U39" s="359"/>
      <c r="V39" s="349"/>
      <c r="W39" s="350"/>
      <c r="X39" s="350"/>
      <c r="Y39" s="350"/>
      <c r="Z39" s="350"/>
      <c r="AA39" s="351"/>
      <c r="AB39" s="333"/>
      <c r="AC39" s="329"/>
      <c r="AD39" s="329"/>
      <c r="AE39" s="329"/>
      <c r="AF39" s="329"/>
      <c r="AG39" s="330"/>
      <c r="AH39" s="340"/>
      <c r="AI39" s="341"/>
      <c r="AJ39" s="341"/>
      <c r="AK39" s="341"/>
      <c r="AL39" s="341"/>
      <c r="AM39" s="34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282"/>
      <c r="C40" s="282"/>
      <c r="D40" s="283"/>
      <c r="E40" s="323"/>
      <c r="F40" s="324"/>
      <c r="G40" s="324"/>
      <c r="H40" s="324"/>
      <c r="I40" s="325"/>
      <c r="J40" s="360" t="str">
        <f>IF(AND('Mapa final'!$H$28="Muy Baja",'Mapa final'!$L$28="Leve"),CONCATENATE("R",'Mapa final'!$A$28),"")</f>
        <v/>
      </c>
      <c r="K40" s="358"/>
      <c r="L40" s="358" t="str">
        <f>IF(AND('Mapa final'!$H$34="Muy Baja",'Mapa final'!$L$34="Leve"),CONCATENATE("R",'Mapa final'!$A$34),"")</f>
        <v/>
      </c>
      <c r="M40" s="358"/>
      <c r="N40" s="358" t="str">
        <f>IF(AND('Mapa final'!$H$40="Muy Baja",'Mapa final'!$L$40="Leve"),CONCATENATE("R",'Mapa final'!$A$40),"")</f>
        <v/>
      </c>
      <c r="O40" s="359"/>
      <c r="P40" s="360" t="str">
        <f>IF(AND('Mapa final'!$H$28="Muy Baja",'Mapa final'!$L$28="Menor"),CONCATENATE("R",'Mapa final'!$A$28),"")</f>
        <v/>
      </c>
      <c r="Q40" s="358"/>
      <c r="R40" s="358" t="str">
        <f>IF(AND('Mapa final'!$H$34="Muy Baja",'Mapa final'!$L$34="Menor"),CONCATENATE("R",'Mapa final'!$A$34),"")</f>
        <v/>
      </c>
      <c r="S40" s="358"/>
      <c r="T40" s="358" t="str">
        <f>IF(AND('Mapa final'!$H$40="Muy Baja",'Mapa final'!$L$40="Menor"),CONCATENATE("R",'Mapa final'!$A$40),"")</f>
        <v/>
      </c>
      <c r="U40" s="359"/>
      <c r="V40" s="349" t="str">
        <f>IF(AND('Mapa final'!$H$28="Muy Baja",'Mapa final'!$L$28="Moderado"),CONCATENATE("R",'Mapa final'!$A$28),"")</f>
        <v/>
      </c>
      <c r="W40" s="350"/>
      <c r="X40" s="350" t="str">
        <f>IF(AND('Mapa final'!$H$34="Muy Baja",'Mapa final'!$L$34="Moderado"),CONCATENATE("R",'Mapa final'!$A$34),"")</f>
        <v/>
      </c>
      <c r="Y40" s="350"/>
      <c r="Z40" s="350" t="str">
        <f>IF(AND('Mapa final'!$H$40="Muy Baja",'Mapa final'!$L$40="Moderado"),CONCATENATE("R",'Mapa final'!$A$40),"")</f>
        <v/>
      </c>
      <c r="AA40" s="351"/>
      <c r="AB40" s="333" t="str">
        <f>IF(AND('Mapa final'!$H$28="Muy Baja",'Mapa final'!$L$28="Mayor"),CONCATENATE("R",'Mapa final'!$A$28),"")</f>
        <v/>
      </c>
      <c r="AC40" s="329"/>
      <c r="AD40" s="329" t="str">
        <f>IF(AND('Mapa final'!$H$34="Muy Baja",'Mapa final'!$L$34="Mayor"),CONCATENATE("R",'Mapa final'!$A$34),"")</f>
        <v/>
      </c>
      <c r="AE40" s="329"/>
      <c r="AF40" s="329" t="str">
        <f>IF(AND('Mapa final'!$H$40="Muy Baja",'Mapa final'!$L$40="Mayor"),CONCATENATE("R",'Mapa final'!$A$40),"")</f>
        <v/>
      </c>
      <c r="AG40" s="330"/>
      <c r="AH40" s="340" t="str">
        <f>IF(AND('Mapa final'!$H$28="Muy Baja",'Mapa final'!$L$28="Catastrófico"),CONCATENATE("R",'Mapa final'!$A$28),"")</f>
        <v/>
      </c>
      <c r="AI40" s="341"/>
      <c r="AJ40" s="341" t="str">
        <f>IF(AND('Mapa final'!$H$34="Muy Baja",'Mapa final'!$L$34="Catastrófico"),CONCATENATE("R",'Mapa final'!$A$34),"")</f>
        <v/>
      </c>
      <c r="AK40" s="341"/>
      <c r="AL40" s="341" t="str">
        <f>IF(AND('Mapa final'!$H$40="Muy Baja",'Mapa final'!$L$40="Catastrófico"),CONCATENATE("R",'Mapa final'!$A$40),"")</f>
        <v/>
      </c>
      <c r="AM40" s="34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282"/>
      <c r="C41" s="282"/>
      <c r="D41" s="283"/>
      <c r="E41" s="323"/>
      <c r="F41" s="324"/>
      <c r="G41" s="324"/>
      <c r="H41" s="324"/>
      <c r="I41" s="325"/>
      <c r="J41" s="360"/>
      <c r="K41" s="358"/>
      <c r="L41" s="358"/>
      <c r="M41" s="358"/>
      <c r="N41" s="358"/>
      <c r="O41" s="359"/>
      <c r="P41" s="360"/>
      <c r="Q41" s="358"/>
      <c r="R41" s="358"/>
      <c r="S41" s="358"/>
      <c r="T41" s="358"/>
      <c r="U41" s="359"/>
      <c r="V41" s="349"/>
      <c r="W41" s="350"/>
      <c r="X41" s="350"/>
      <c r="Y41" s="350"/>
      <c r="Z41" s="350"/>
      <c r="AA41" s="351"/>
      <c r="AB41" s="333"/>
      <c r="AC41" s="329"/>
      <c r="AD41" s="329"/>
      <c r="AE41" s="329"/>
      <c r="AF41" s="329"/>
      <c r="AG41" s="330"/>
      <c r="AH41" s="340"/>
      <c r="AI41" s="341"/>
      <c r="AJ41" s="341"/>
      <c r="AK41" s="341"/>
      <c r="AL41" s="341"/>
      <c r="AM41" s="34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282"/>
      <c r="C42" s="282"/>
      <c r="D42" s="283"/>
      <c r="E42" s="323"/>
      <c r="F42" s="324"/>
      <c r="G42" s="324"/>
      <c r="H42" s="324"/>
      <c r="I42" s="325"/>
      <c r="J42" s="360" t="str">
        <f>IF(AND('Mapa final'!$H$46="Muy Baja",'Mapa final'!$L$46="Leve"),CONCATENATE("R",'Mapa final'!$A$46),"")</f>
        <v/>
      </c>
      <c r="K42" s="358"/>
      <c r="L42" s="358" t="str">
        <f>IF(AND('Mapa final'!$H$52="Muy Baja",'Mapa final'!$L$52="Leve"),CONCATENATE("R",'Mapa final'!$A$52),"")</f>
        <v/>
      </c>
      <c r="M42" s="358"/>
      <c r="N42" s="358" t="str">
        <f>IF(AND('Mapa final'!$H$58="Muy Baja",'Mapa final'!$L$58="Leve"),CONCATENATE("R",'Mapa final'!$A$58),"")</f>
        <v/>
      </c>
      <c r="O42" s="359"/>
      <c r="P42" s="360" t="str">
        <f>IF(AND('Mapa final'!$H$46="Muy Baja",'Mapa final'!$L$46="Menor"),CONCATENATE("R",'Mapa final'!$A$46),"")</f>
        <v/>
      </c>
      <c r="Q42" s="358"/>
      <c r="R42" s="358" t="str">
        <f>IF(AND('Mapa final'!$H$52="Muy Baja",'Mapa final'!$L$52="Menor"),CONCATENATE("R",'Mapa final'!$A$52),"")</f>
        <v/>
      </c>
      <c r="S42" s="358"/>
      <c r="T42" s="358" t="str">
        <f>IF(AND('Mapa final'!$H$58="Muy Baja",'Mapa final'!$L$58="Menor"),CONCATENATE("R",'Mapa final'!$A$58),"")</f>
        <v/>
      </c>
      <c r="U42" s="359"/>
      <c r="V42" s="349" t="str">
        <f>IF(AND('Mapa final'!$H$46="Muy Baja",'Mapa final'!$L$46="Moderado"),CONCATENATE("R",'Mapa final'!$A$46),"")</f>
        <v/>
      </c>
      <c r="W42" s="350"/>
      <c r="X42" s="350" t="str">
        <f>IF(AND('Mapa final'!$H$52="Muy Baja",'Mapa final'!$L$52="Moderado"),CONCATENATE("R",'Mapa final'!$A$52),"")</f>
        <v/>
      </c>
      <c r="Y42" s="350"/>
      <c r="Z42" s="350" t="str">
        <f>IF(AND('Mapa final'!$H$58="Muy Baja",'Mapa final'!$L$58="Moderado"),CONCATENATE("R",'Mapa final'!$A$58),"")</f>
        <v/>
      </c>
      <c r="AA42" s="351"/>
      <c r="AB42" s="333" t="str">
        <f>IF(AND('Mapa final'!$H$46="Muy Baja",'Mapa final'!$L$46="Mayor"),CONCATENATE("R",'Mapa final'!$A$46),"")</f>
        <v/>
      </c>
      <c r="AC42" s="329"/>
      <c r="AD42" s="329" t="str">
        <f>IF(AND('Mapa final'!$H$52="Muy Baja",'Mapa final'!$L$52="Mayor"),CONCATENATE("R",'Mapa final'!$A$52),"")</f>
        <v/>
      </c>
      <c r="AE42" s="329"/>
      <c r="AF42" s="329" t="str">
        <f>IF(AND('Mapa final'!$H$58="Muy Baja",'Mapa final'!$L$58="Mayor"),CONCATENATE("R",'Mapa final'!$A$58),"")</f>
        <v/>
      </c>
      <c r="AG42" s="330"/>
      <c r="AH42" s="340" t="str">
        <f>IF(AND('Mapa final'!$H$46="Muy Baja",'Mapa final'!$L$46="Catastrófico"),CONCATENATE("R",'Mapa final'!$A$46),"")</f>
        <v/>
      </c>
      <c r="AI42" s="341"/>
      <c r="AJ42" s="341" t="str">
        <f>IF(AND('Mapa final'!$H$52="Muy Baja",'Mapa final'!$L$52="Catastrófico"),CONCATENATE("R",'Mapa final'!$A$52),"")</f>
        <v/>
      </c>
      <c r="AK42" s="341"/>
      <c r="AL42" s="341" t="str">
        <f>IF(AND('Mapa final'!$H$58="Muy Baja",'Mapa final'!$L$58="Catastrófico"),CONCATENATE("R",'Mapa final'!$A$58),"")</f>
        <v/>
      </c>
      <c r="AM42" s="34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282"/>
      <c r="C43" s="282"/>
      <c r="D43" s="283"/>
      <c r="E43" s="323"/>
      <c r="F43" s="324"/>
      <c r="G43" s="324"/>
      <c r="H43" s="324"/>
      <c r="I43" s="325"/>
      <c r="J43" s="360"/>
      <c r="K43" s="358"/>
      <c r="L43" s="358"/>
      <c r="M43" s="358"/>
      <c r="N43" s="358"/>
      <c r="O43" s="359"/>
      <c r="P43" s="360"/>
      <c r="Q43" s="358"/>
      <c r="R43" s="358"/>
      <c r="S43" s="358"/>
      <c r="T43" s="358"/>
      <c r="U43" s="359"/>
      <c r="V43" s="349"/>
      <c r="W43" s="350"/>
      <c r="X43" s="350"/>
      <c r="Y43" s="350"/>
      <c r="Z43" s="350"/>
      <c r="AA43" s="351"/>
      <c r="AB43" s="333"/>
      <c r="AC43" s="329"/>
      <c r="AD43" s="329"/>
      <c r="AE43" s="329"/>
      <c r="AF43" s="329"/>
      <c r="AG43" s="330"/>
      <c r="AH43" s="340"/>
      <c r="AI43" s="341"/>
      <c r="AJ43" s="341"/>
      <c r="AK43" s="341"/>
      <c r="AL43" s="341"/>
      <c r="AM43" s="34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282"/>
      <c r="C44" s="282"/>
      <c r="D44" s="283"/>
      <c r="E44" s="323"/>
      <c r="F44" s="324"/>
      <c r="G44" s="324"/>
      <c r="H44" s="324"/>
      <c r="I44" s="325"/>
      <c r="J44" s="360" t="str">
        <f>IF(AND('Mapa final'!$H$64="Muy Baja",'Mapa final'!$L$64="Leve"),CONCATENATE("R",'Mapa final'!$A$64),"")</f>
        <v/>
      </c>
      <c r="K44" s="358"/>
      <c r="L44" s="358" t="str">
        <f>IF(AND('Mapa final'!$H$70="Muy Baja",'Mapa final'!$L$70="Leve"),CONCATENATE("R",'Mapa final'!$A$70),"")</f>
        <v/>
      </c>
      <c r="M44" s="358"/>
      <c r="N44" s="358" t="str">
        <f>IF(AND('Mapa final'!$H$76="Muy Baja",'Mapa final'!$L$76="Leve"),CONCATENATE("R",'Mapa final'!$A$76),"")</f>
        <v/>
      </c>
      <c r="O44" s="359"/>
      <c r="P44" s="360" t="str">
        <f>IF(AND('Mapa final'!$H$64="Muy Baja",'Mapa final'!$L$64="Menor"),CONCATENATE("R",'Mapa final'!$A$64),"")</f>
        <v/>
      </c>
      <c r="Q44" s="358"/>
      <c r="R44" s="358" t="str">
        <f>IF(AND('Mapa final'!$H$70="Muy Baja",'Mapa final'!$L$70="Menor"),CONCATENATE("R",'Mapa final'!$A$70),"")</f>
        <v/>
      </c>
      <c r="S44" s="358"/>
      <c r="T44" s="358" t="str">
        <f>IF(AND('Mapa final'!$H$76="Muy Baja",'Mapa final'!$L$76="Menor"),CONCATENATE("R",'Mapa final'!$A$76),"")</f>
        <v/>
      </c>
      <c r="U44" s="359"/>
      <c r="V44" s="349" t="str">
        <f>IF(AND('Mapa final'!$H$64="Muy Baja",'Mapa final'!$L$64="Moderado"),CONCATENATE("R",'Mapa final'!$A$64),"")</f>
        <v/>
      </c>
      <c r="W44" s="350"/>
      <c r="X44" s="350" t="str">
        <f>IF(AND('Mapa final'!$H$70="Muy Baja",'Mapa final'!$L$70="Moderado"),CONCATENATE("R",'Mapa final'!$A$70),"")</f>
        <v/>
      </c>
      <c r="Y44" s="350"/>
      <c r="Z44" s="350" t="str">
        <f>IF(AND('Mapa final'!$H$76="Muy Baja",'Mapa final'!$L$76="Moderado"),CONCATENATE("R",'Mapa final'!$A$76),"")</f>
        <v/>
      </c>
      <c r="AA44" s="351"/>
      <c r="AB44" s="333" t="str">
        <f>IF(AND('Mapa final'!$H$64="Muy Baja",'Mapa final'!$L$64="Mayor"),CONCATENATE("R",'Mapa final'!$A$64),"")</f>
        <v/>
      </c>
      <c r="AC44" s="329"/>
      <c r="AD44" s="329" t="str">
        <f>IF(AND('Mapa final'!$H$70="Muy Baja",'Mapa final'!$L$70="Mayor"),CONCATENATE("R",'Mapa final'!$A$70),"")</f>
        <v/>
      </c>
      <c r="AE44" s="329"/>
      <c r="AF44" s="329" t="str">
        <f>IF(AND('Mapa final'!$H$76="Muy Baja",'Mapa final'!$L$76="Mayor"),CONCATENATE("R",'Mapa final'!$A$76),"")</f>
        <v/>
      </c>
      <c r="AG44" s="330"/>
      <c r="AH44" s="340" t="str">
        <f>IF(AND('Mapa final'!$H$64="Muy Baja",'Mapa final'!$L$64="Catastrófico"),CONCATENATE("R",'Mapa final'!$A$64),"")</f>
        <v/>
      </c>
      <c r="AI44" s="341"/>
      <c r="AJ44" s="341" t="str">
        <f>IF(AND('Mapa final'!$H$70="Muy Baja",'Mapa final'!$L$70="Catastrófico"),CONCATENATE("R",'Mapa final'!$A$70),"")</f>
        <v/>
      </c>
      <c r="AK44" s="341"/>
      <c r="AL44" s="341" t="str">
        <f>IF(AND('Mapa final'!$H$76="Muy Baja",'Mapa final'!$L$76="Catastrófico"),CONCATENATE("R",'Mapa final'!$A$76),"")</f>
        <v/>
      </c>
      <c r="AM44" s="34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282"/>
      <c r="C45" s="282"/>
      <c r="D45" s="283"/>
      <c r="E45" s="326"/>
      <c r="F45" s="327"/>
      <c r="G45" s="327"/>
      <c r="H45" s="327"/>
      <c r="I45" s="328"/>
      <c r="J45" s="361"/>
      <c r="K45" s="362"/>
      <c r="L45" s="362"/>
      <c r="M45" s="362"/>
      <c r="N45" s="362"/>
      <c r="O45" s="363"/>
      <c r="P45" s="361"/>
      <c r="Q45" s="362"/>
      <c r="R45" s="362"/>
      <c r="S45" s="362"/>
      <c r="T45" s="362"/>
      <c r="U45" s="363"/>
      <c r="V45" s="352"/>
      <c r="W45" s="353"/>
      <c r="X45" s="353"/>
      <c r="Y45" s="353"/>
      <c r="Z45" s="353"/>
      <c r="AA45" s="354"/>
      <c r="AB45" s="337"/>
      <c r="AC45" s="338"/>
      <c r="AD45" s="338"/>
      <c r="AE45" s="338"/>
      <c r="AF45" s="338"/>
      <c r="AG45" s="339"/>
      <c r="AH45" s="343"/>
      <c r="AI45" s="344"/>
      <c r="AJ45" s="344"/>
      <c r="AK45" s="344"/>
      <c r="AL45" s="344"/>
      <c r="AM45" s="345"/>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20" t="s">
        <v>111</v>
      </c>
      <c r="K46" s="321"/>
      <c r="L46" s="321"/>
      <c r="M46" s="321"/>
      <c r="N46" s="321"/>
      <c r="O46" s="322"/>
      <c r="P46" s="320" t="s">
        <v>110</v>
      </c>
      <c r="Q46" s="321"/>
      <c r="R46" s="321"/>
      <c r="S46" s="321"/>
      <c r="T46" s="321"/>
      <c r="U46" s="322"/>
      <c r="V46" s="320" t="s">
        <v>109</v>
      </c>
      <c r="W46" s="321"/>
      <c r="X46" s="321"/>
      <c r="Y46" s="321"/>
      <c r="Z46" s="321"/>
      <c r="AA46" s="322"/>
      <c r="AB46" s="320" t="s">
        <v>108</v>
      </c>
      <c r="AC46" s="336"/>
      <c r="AD46" s="321"/>
      <c r="AE46" s="321"/>
      <c r="AF46" s="321"/>
      <c r="AG46" s="322"/>
      <c r="AH46" s="320" t="s">
        <v>107</v>
      </c>
      <c r="AI46" s="321"/>
      <c r="AJ46" s="321"/>
      <c r="AK46" s="321"/>
      <c r="AL46" s="321"/>
      <c r="AM46" s="32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23"/>
      <c r="K47" s="324"/>
      <c r="L47" s="324"/>
      <c r="M47" s="324"/>
      <c r="N47" s="324"/>
      <c r="O47" s="325"/>
      <c r="P47" s="323"/>
      <c r="Q47" s="324"/>
      <c r="R47" s="324"/>
      <c r="S47" s="324"/>
      <c r="T47" s="324"/>
      <c r="U47" s="325"/>
      <c r="V47" s="323"/>
      <c r="W47" s="324"/>
      <c r="X47" s="324"/>
      <c r="Y47" s="324"/>
      <c r="Z47" s="324"/>
      <c r="AA47" s="325"/>
      <c r="AB47" s="323"/>
      <c r="AC47" s="324"/>
      <c r="AD47" s="324"/>
      <c r="AE47" s="324"/>
      <c r="AF47" s="324"/>
      <c r="AG47" s="325"/>
      <c r="AH47" s="323"/>
      <c r="AI47" s="324"/>
      <c r="AJ47" s="324"/>
      <c r="AK47" s="324"/>
      <c r="AL47" s="324"/>
      <c r="AM47" s="325"/>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23"/>
      <c r="K48" s="324"/>
      <c r="L48" s="324"/>
      <c r="M48" s="324"/>
      <c r="N48" s="324"/>
      <c r="O48" s="325"/>
      <c r="P48" s="323"/>
      <c r="Q48" s="324"/>
      <c r="R48" s="324"/>
      <c r="S48" s="324"/>
      <c r="T48" s="324"/>
      <c r="U48" s="325"/>
      <c r="V48" s="323"/>
      <c r="W48" s="324"/>
      <c r="X48" s="324"/>
      <c r="Y48" s="324"/>
      <c r="Z48" s="324"/>
      <c r="AA48" s="325"/>
      <c r="AB48" s="323"/>
      <c r="AC48" s="324"/>
      <c r="AD48" s="324"/>
      <c r="AE48" s="324"/>
      <c r="AF48" s="324"/>
      <c r="AG48" s="325"/>
      <c r="AH48" s="323"/>
      <c r="AI48" s="324"/>
      <c r="AJ48" s="324"/>
      <c r="AK48" s="324"/>
      <c r="AL48" s="324"/>
      <c r="AM48" s="325"/>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23"/>
      <c r="K49" s="324"/>
      <c r="L49" s="324"/>
      <c r="M49" s="324"/>
      <c r="N49" s="324"/>
      <c r="O49" s="325"/>
      <c r="P49" s="323"/>
      <c r="Q49" s="324"/>
      <c r="R49" s="324"/>
      <c r="S49" s="324"/>
      <c r="T49" s="324"/>
      <c r="U49" s="325"/>
      <c r="V49" s="323"/>
      <c r="W49" s="324"/>
      <c r="X49" s="324"/>
      <c r="Y49" s="324"/>
      <c r="Z49" s="324"/>
      <c r="AA49" s="325"/>
      <c r="AB49" s="323"/>
      <c r="AC49" s="324"/>
      <c r="AD49" s="324"/>
      <c r="AE49" s="324"/>
      <c r="AF49" s="324"/>
      <c r="AG49" s="325"/>
      <c r="AH49" s="323"/>
      <c r="AI49" s="324"/>
      <c r="AJ49" s="324"/>
      <c r="AK49" s="324"/>
      <c r="AL49" s="324"/>
      <c r="AM49" s="325"/>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23"/>
      <c r="K50" s="324"/>
      <c r="L50" s="324"/>
      <c r="M50" s="324"/>
      <c r="N50" s="324"/>
      <c r="O50" s="325"/>
      <c r="P50" s="323"/>
      <c r="Q50" s="324"/>
      <c r="R50" s="324"/>
      <c r="S50" s="324"/>
      <c r="T50" s="324"/>
      <c r="U50" s="325"/>
      <c r="V50" s="323"/>
      <c r="W50" s="324"/>
      <c r="X50" s="324"/>
      <c r="Y50" s="324"/>
      <c r="Z50" s="324"/>
      <c r="AA50" s="325"/>
      <c r="AB50" s="323"/>
      <c r="AC50" s="324"/>
      <c r="AD50" s="324"/>
      <c r="AE50" s="324"/>
      <c r="AF50" s="324"/>
      <c r="AG50" s="325"/>
      <c r="AH50" s="323"/>
      <c r="AI50" s="324"/>
      <c r="AJ50" s="324"/>
      <c r="AK50" s="324"/>
      <c r="AL50" s="324"/>
      <c r="AM50" s="325"/>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26"/>
      <c r="K51" s="327"/>
      <c r="L51" s="327"/>
      <c r="M51" s="327"/>
      <c r="N51" s="327"/>
      <c r="O51" s="328"/>
      <c r="P51" s="326"/>
      <c r="Q51" s="327"/>
      <c r="R51" s="327"/>
      <c r="S51" s="327"/>
      <c r="T51" s="327"/>
      <c r="U51" s="328"/>
      <c r="V51" s="326"/>
      <c r="W51" s="327"/>
      <c r="X51" s="327"/>
      <c r="Y51" s="327"/>
      <c r="Z51" s="327"/>
      <c r="AA51" s="328"/>
      <c r="AB51" s="326"/>
      <c r="AC51" s="327"/>
      <c r="AD51" s="327"/>
      <c r="AE51" s="327"/>
      <c r="AF51" s="327"/>
      <c r="AG51" s="328"/>
      <c r="AH51" s="326"/>
      <c r="AI51" s="327"/>
      <c r="AJ51" s="327"/>
      <c r="AK51" s="327"/>
      <c r="AL51" s="327"/>
      <c r="AM51" s="328"/>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J6" sqref="J6"/>
    </sheetView>
  </sheetViews>
  <sheetFormatPr baseColWidth="10" defaultRowHeight="15" x14ac:dyDescent="0.25"/>
  <cols>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1" max="46" width="5.570312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393" t="s">
        <v>158</v>
      </c>
      <c r="C2" s="394"/>
      <c r="D2" s="394"/>
      <c r="E2" s="394"/>
      <c r="F2" s="394"/>
      <c r="G2" s="394"/>
      <c r="H2" s="394"/>
      <c r="I2" s="394"/>
      <c r="J2" s="335" t="s">
        <v>2</v>
      </c>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394"/>
      <c r="C3" s="394"/>
      <c r="D3" s="394"/>
      <c r="E3" s="394"/>
      <c r="F3" s="394"/>
      <c r="G3" s="394"/>
      <c r="H3" s="394"/>
      <c r="I3" s="394"/>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394"/>
      <c r="C4" s="394"/>
      <c r="D4" s="394"/>
      <c r="E4" s="394"/>
      <c r="F4" s="394"/>
      <c r="G4" s="394"/>
      <c r="H4" s="394"/>
      <c r="I4" s="394"/>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282" t="s">
        <v>4</v>
      </c>
      <c r="C6" s="282"/>
      <c r="D6" s="283"/>
      <c r="E6" s="377" t="s">
        <v>115</v>
      </c>
      <c r="F6" s="378"/>
      <c r="G6" s="378"/>
      <c r="H6" s="378"/>
      <c r="I6" s="395"/>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84" t="s">
        <v>78</v>
      </c>
      <c r="AP6" s="385"/>
      <c r="AQ6" s="385"/>
      <c r="AR6" s="385"/>
      <c r="AS6" s="385"/>
      <c r="AT6" s="386"/>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282"/>
      <c r="C7" s="282"/>
      <c r="D7" s="283"/>
      <c r="E7" s="381"/>
      <c r="F7" s="380"/>
      <c r="G7" s="380"/>
      <c r="H7" s="380"/>
      <c r="I7" s="396"/>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87"/>
      <c r="AP7" s="388"/>
      <c r="AQ7" s="388"/>
      <c r="AR7" s="388"/>
      <c r="AS7" s="388"/>
      <c r="AT7" s="389"/>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282"/>
      <c r="C8" s="282"/>
      <c r="D8" s="283"/>
      <c r="E8" s="381"/>
      <c r="F8" s="380"/>
      <c r="G8" s="380"/>
      <c r="H8" s="380"/>
      <c r="I8" s="396"/>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87"/>
      <c r="AP8" s="388"/>
      <c r="AQ8" s="388"/>
      <c r="AR8" s="388"/>
      <c r="AS8" s="388"/>
      <c r="AT8" s="389"/>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282"/>
      <c r="C9" s="282"/>
      <c r="D9" s="283"/>
      <c r="E9" s="381"/>
      <c r="F9" s="380"/>
      <c r="G9" s="380"/>
      <c r="H9" s="380"/>
      <c r="I9" s="396"/>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87"/>
      <c r="AP9" s="388"/>
      <c r="AQ9" s="388"/>
      <c r="AR9" s="388"/>
      <c r="AS9" s="388"/>
      <c r="AT9" s="389"/>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282"/>
      <c r="C10" s="282"/>
      <c r="D10" s="283"/>
      <c r="E10" s="381"/>
      <c r="F10" s="380"/>
      <c r="G10" s="380"/>
      <c r="H10" s="380"/>
      <c r="I10" s="396"/>
      <c r="J10" s="51" t="str">
        <f>IF(AND('Mapa final'!$Y$34="Muy Alta",'Mapa final'!$AA$34="Leve"),CONCATENATE("R5C",'Mapa final'!$O$34),"")</f>
        <v/>
      </c>
      <c r="K10" s="52" t="str">
        <f>IF(AND('Mapa final'!$Y$35="Muy Alta",'Mapa final'!$AA$35="Leve"),CONCATENATE("R5C",'Mapa final'!$O$35),"")</f>
        <v/>
      </c>
      <c r="L10" s="52" t="str">
        <f>IF(AND('Mapa final'!$Y$36="Muy Alta",'Mapa final'!$AA$36="Leve"),CONCATENATE("R5C",'Mapa final'!$O$36),"")</f>
        <v/>
      </c>
      <c r="M10" s="52" t="str">
        <f>IF(AND('Mapa final'!$Y$37="Muy Alta",'Mapa final'!$AA$37="Leve"),CONCATENATE("R5C",'Mapa final'!$O$37),"")</f>
        <v/>
      </c>
      <c r="N10" s="52" t="str">
        <f>IF(AND('Mapa final'!$Y$38="Muy Alta",'Mapa final'!$AA$38="Leve"),CONCATENATE("R5C",'Mapa final'!$O$38),"")</f>
        <v/>
      </c>
      <c r="O10" s="53" t="str">
        <f>IF(AND('Mapa final'!$Y$39="Muy Alta",'Mapa final'!$AA$39="Leve"),CONCATENATE("R5C",'Mapa final'!$O$39),"")</f>
        <v/>
      </c>
      <c r="P10" s="51" t="str">
        <f>IF(AND('Mapa final'!$Y$34="Muy Alta",'Mapa final'!$AA$34="Menor"),CONCATENATE("R5C",'Mapa final'!$O$34),"")</f>
        <v/>
      </c>
      <c r="Q10" s="52" t="str">
        <f>IF(AND('Mapa final'!$Y$35="Muy Alta",'Mapa final'!$AA$35="Menor"),CONCATENATE("R5C",'Mapa final'!$O$35),"")</f>
        <v/>
      </c>
      <c r="R10" s="52" t="str">
        <f>IF(AND('Mapa final'!$Y$36="Muy Alta",'Mapa final'!$AA$36="Menor"),CONCATENATE("R5C",'Mapa final'!$O$36),"")</f>
        <v/>
      </c>
      <c r="S10" s="52" t="str">
        <f>IF(AND('Mapa final'!$Y$37="Muy Alta",'Mapa final'!$AA$37="Menor"),CONCATENATE("R5C",'Mapa final'!$O$37),"")</f>
        <v/>
      </c>
      <c r="T10" s="52" t="str">
        <f>IF(AND('Mapa final'!$Y$38="Muy Alta",'Mapa final'!$AA$38="Menor"),CONCATENATE("R5C",'Mapa final'!$O$38),"")</f>
        <v/>
      </c>
      <c r="U10" s="53" t="str">
        <f>IF(AND('Mapa final'!$Y$39="Muy Alta",'Mapa final'!$AA$39="Menor"),CONCATENATE("R5C",'Mapa final'!$O$39),"")</f>
        <v/>
      </c>
      <c r="V10" s="51" t="str">
        <f>IF(AND('Mapa final'!$Y$34="Muy Alta",'Mapa final'!$AA$34="Moderado"),CONCATENATE("R5C",'Mapa final'!$O$34),"")</f>
        <v/>
      </c>
      <c r="W10" s="52" t="str">
        <f>IF(AND('Mapa final'!$Y$35="Muy Alta",'Mapa final'!$AA$35="Moderado"),CONCATENATE("R5C",'Mapa final'!$O$35),"")</f>
        <v/>
      </c>
      <c r="X10" s="52" t="str">
        <f>IF(AND('Mapa final'!$Y$36="Muy Alta",'Mapa final'!$AA$36="Moderado"),CONCATENATE("R5C",'Mapa final'!$O$36),"")</f>
        <v/>
      </c>
      <c r="Y10" s="52" t="str">
        <f>IF(AND('Mapa final'!$Y$37="Muy Alta",'Mapa final'!$AA$37="Moderado"),CONCATENATE("R5C",'Mapa final'!$O$37),"")</f>
        <v/>
      </c>
      <c r="Z10" s="52" t="str">
        <f>IF(AND('Mapa final'!$Y$38="Muy Alta",'Mapa final'!$AA$38="Moderado"),CONCATENATE("R5C",'Mapa final'!$O$38),"")</f>
        <v/>
      </c>
      <c r="AA10" s="53" t="str">
        <f>IF(AND('Mapa final'!$Y$39="Muy Alta",'Mapa final'!$AA$39="Moderado"),CONCATENATE("R5C",'Mapa final'!$O$39),"")</f>
        <v/>
      </c>
      <c r="AB10" s="51" t="str">
        <f>IF(AND('Mapa final'!$Y$34="Muy Alta",'Mapa final'!$AA$34="Mayor"),CONCATENATE("R5C",'Mapa final'!$O$34),"")</f>
        <v/>
      </c>
      <c r="AC10" s="52" t="str">
        <f>IF(AND('Mapa final'!$Y$35="Muy Alta",'Mapa final'!$AA$35="Mayor"),CONCATENATE("R5C",'Mapa final'!$O$35),"")</f>
        <v/>
      </c>
      <c r="AD10" s="52" t="str">
        <f>IF(AND('Mapa final'!$Y$36="Muy Alta",'Mapa final'!$AA$36="Mayor"),CONCATENATE("R5C",'Mapa final'!$O$36),"")</f>
        <v/>
      </c>
      <c r="AE10" s="52" t="str">
        <f>IF(AND('Mapa final'!$Y$37="Muy Alta",'Mapa final'!$AA$37="Mayor"),CONCATENATE("R5C",'Mapa final'!$O$37),"")</f>
        <v/>
      </c>
      <c r="AF10" s="52" t="str">
        <f>IF(AND('Mapa final'!$Y$38="Muy Alta",'Mapa final'!$AA$38="Mayor"),CONCATENATE("R5C",'Mapa final'!$O$38),"")</f>
        <v/>
      </c>
      <c r="AG10" s="53" t="str">
        <f>IF(AND('Mapa final'!$Y$39="Muy Alta",'Mapa final'!$AA$39="Mayor"),CONCATENATE("R5C",'Mapa final'!$O$39),"")</f>
        <v/>
      </c>
      <c r="AH10" s="54" t="str">
        <f>IF(AND('Mapa final'!$Y$34="Muy Alta",'Mapa final'!$AA$34="Catastrófico"),CONCATENATE("R5C",'Mapa final'!$O$34),"")</f>
        <v/>
      </c>
      <c r="AI10" s="55" t="str">
        <f>IF(AND('Mapa final'!$Y$35="Muy Alta",'Mapa final'!$AA$35="Catastrófico"),CONCATENATE("R5C",'Mapa final'!$O$35),"")</f>
        <v/>
      </c>
      <c r="AJ10" s="55" t="str">
        <f>IF(AND('Mapa final'!$Y$36="Muy Alta",'Mapa final'!$AA$36="Catastrófico"),CONCATENATE("R5C",'Mapa final'!$O$36),"")</f>
        <v/>
      </c>
      <c r="AK10" s="55" t="str">
        <f>IF(AND('Mapa final'!$Y$37="Muy Alta",'Mapa final'!$AA$37="Catastrófico"),CONCATENATE("R5C",'Mapa final'!$O$37),"")</f>
        <v/>
      </c>
      <c r="AL10" s="55" t="str">
        <f>IF(AND('Mapa final'!$Y$38="Muy Alta",'Mapa final'!$AA$38="Catastrófico"),CONCATENATE("R5C",'Mapa final'!$O$38),"")</f>
        <v/>
      </c>
      <c r="AM10" s="56" t="str">
        <f>IF(AND('Mapa final'!$Y$39="Muy Alta",'Mapa final'!$AA$39="Catastrófico"),CONCATENATE("R5C",'Mapa final'!$O$39),"")</f>
        <v/>
      </c>
      <c r="AN10" s="82"/>
      <c r="AO10" s="387"/>
      <c r="AP10" s="388"/>
      <c r="AQ10" s="388"/>
      <c r="AR10" s="388"/>
      <c r="AS10" s="388"/>
      <c r="AT10" s="389"/>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282"/>
      <c r="C11" s="282"/>
      <c r="D11" s="283"/>
      <c r="E11" s="381"/>
      <c r="F11" s="380"/>
      <c r="G11" s="380"/>
      <c r="H11" s="380"/>
      <c r="I11" s="396"/>
      <c r="J11" s="51" t="str">
        <f>IF(AND('Mapa final'!$Y$40="Muy Alta",'Mapa final'!$AA$40="Leve"),CONCATENATE("R6C",'Mapa final'!$O$40),"")</f>
        <v/>
      </c>
      <c r="K11" s="52" t="str">
        <f>IF(AND('Mapa final'!$Y$41="Muy Alta",'Mapa final'!$AA$41="Leve"),CONCATENATE("R6C",'Mapa final'!$O$41),"")</f>
        <v/>
      </c>
      <c r="L11" s="52" t="str">
        <f>IF(AND('Mapa final'!$Y$42="Muy Alta",'Mapa final'!$AA$42="Leve"),CONCATENATE("R6C",'Mapa final'!$O$42),"")</f>
        <v/>
      </c>
      <c r="M11" s="52" t="str">
        <f>IF(AND('Mapa final'!$Y$43="Muy Alta",'Mapa final'!$AA$43="Leve"),CONCATENATE("R6C",'Mapa final'!$O$43),"")</f>
        <v/>
      </c>
      <c r="N11" s="52" t="str">
        <f>IF(AND('Mapa final'!$Y$44="Muy Alta",'Mapa final'!$AA$44="Leve"),CONCATENATE("R6C",'Mapa final'!$O$44),"")</f>
        <v/>
      </c>
      <c r="O11" s="53" t="str">
        <f>IF(AND('Mapa final'!$Y$45="Muy Alta",'Mapa final'!$AA$45="Leve"),CONCATENATE("R6C",'Mapa final'!$O$45),"")</f>
        <v/>
      </c>
      <c r="P11" s="51" t="str">
        <f>IF(AND('Mapa final'!$Y$40="Muy Alta",'Mapa final'!$AA$40="Menor"),CONCATENATE("R6C",'Mapa final'!$O$40),"")</f>
        <v/>
      </c>
      <c r="Q11" s="52" t="str">
        <f>IF(AND('Mapa final'!$Y$41="Muy Alta",'Mapa final'!$AA$41="Menor"),CONCATENATE("R6C",'Mapa final'!$O$41),"")</f>
        <v/>
      </c>
      <c r="R11" s="52" t="str">
        <f>IF(AND('Mapa final'!$Y$42="Muy Alta",'Mapa final'!$AA$42="Menor"),CONCATENATE("R6C",'Mapa final'!$O$42),"")</f>
        <v/>
      </c>
      <c r="S11" s="52" t="str">
        <f>IF(AND('Mapa final'!$Y$43="Muy Alta",'Mapa final'!$AA$43="Menor"),CONCATENATE("R6C",'Mapa final'!$O$43),"")</f>
        <v/>
      </c>
      <c r="T11" s="52" t="str">
        <f>IF(AND('Mapa final'!$Y$44="Muy Alta",'Mapa final'!$AA$44="Menor"),CONCATENATE("R6C",'Mapa final'!$O$44),"")</f>
        <v/>
      </c>
      <c r="U11" s="53" t="str">
        <f>IF(AND('Mapa final'!$Y$45="Muy Alta",'Mapa final'!$AA$45="Menor"),CONCATENATE("R6C",'Mapa final'!$O$45),"")</f>
        <v/>
      </c>
      <c r="V11" s="51" t="str">
        <f>IF(AND('Mapa final'!$Y$40="Muy Alta",'Mapa final'!$AA$40="Moderado"),CONCATENATE("R6C",'Mapa final'!$O$40),"")</f>
        <v/>
      </c>
      <c r="W11" s="52" t="str">
        <f>IF(AND('Mapa final'!$Y$41="Muy Alta",'Mapa final'!$AA$41="Moderado"),CONCATENATE("R6C",'Mapa final'!$O$41),"")</f>
        <v/>
      </c>
      <c r="X11" s="52" t="str">
        <f>IF(AND('Mapa final'!$Y$42="Muy Alta",'Mapa final'!$AA$42="Moderado"),CONCATENATE("R6C",'Mapa final'!$O$42),"")</f>
        <v/>
      </c>
      <c r="Y11" s="52" t="str">
        <f>IF(AND('Mapa final'!$Y$43="Muy Alta",'Mapa final'!$AA$43="Moderado"),CONCATENATE("R6C",'Mapa final'!$O$43),"")</f>
        <v/>
      </c>
      <c r="Z11" s="52" t="str">
        <f>IF(AND('Mapa final'!$Y$44="Muy Alta",'Mapa final'!$AA$44="Moderado"),CONCATENATE("R6C",'Mapa final'!$O$44),"")</f>
        <v/>
      </c>
      <c r="AA11" s="53" t="str">
        <f>IF(AND('Mapa final'!$Y$45="Muy Alta",'Mapa final'!$AA$45="Moderado"),CONCATENATE("R6C",'Mapa final'!$O$45),"")</f>
        <v/>
      </c>
      <c r="AB11" s="51" t="str">
        <f>IF(AND('Mapa final'!$Y$40="Muy Alta",'Mapa final'!$AA$40="Mayor"),CONCATENATE("R6C",'Mapa final'!$O$40),"")</f>
        <v/>
      </c>
      <c r="AC11" s="52" t="str">
        <f>IF(AND('Mapa final'!$Y$41="Muy Alta",'Mapa final'!$AA$41="Mayor"),CONCATENATE("R6C",'Mapa final'!$O$41),"")</f>
        <v/>
      </c>
      <c r="AD11" s="52" t="str">
        <f>IF(AND('Mapa final'!$Y$42="Muy Alta",'Mapa final'!$AA$42="Mayor"),CONCATENATE("R6C",'Mapa final'!$O$42),"")</f>
        <v/>
      </c>
      <c r="AE11" s="52" t="str">
        <f>IF(AND('Mapa final'!$Y$43="Muy Alta",'Mapa final'!$AA$43="Mayor"),CONCATENATE("R6C",'Mapa final'!$O$43),"")</f>
        <v/>
      </c>
      <c r="AF11" s="52" t="str">
        <f>IF(AND('Mapa final'!$Y$44="Muy Alta",'Mapa final'!$AA$44="Mayor"),CONCATENATE("R6C",'Mapa final'!$O$44),"")</f>
        <v/>
      </c>
      <c r="AG11" s="53" t="str">
        <f>IF(AND('Mapa final'!$Y$45="Muy Alta",'Mapa final'!$AA$45="Mayor"),CONCATENATE("R6C",'Mapa final'!$O$45),"")</f>
        <v/>
      </c>
      <c r="AH11" s="54" t="str">
        <f>IF(AND('Mapa final'!$Y$40="Muy Alta",'Mapa final'!$AA$40="Catastrófico"),CONCATENATE("R6C",'Mapa final'!$O$40),"")</f>
        <v/>
      </c>
      <c r="AI11" s="55" t="str">
        <f>IF(AND('Mapa final'!$Y$41="Muy Alta",'Mapa final'!$AA$41="Catastrófico"),CONCATENATE("R6C",'Mapa final'!$O$41),"")</f>
        <v/>
      </c>
      <c r="AJ11" s="55" t="str">
        <f>IF(AND('Mapa final'!$Y$42="Muy Alta",'Mapa final'!$AA$42="Catastrófico"),CONCATENATE("R6C",'Mapa final'!$O$42),"")</f>
        <v/>
      </c>
      <c r="AK11" s="55" t="str">
        <f>IF(AND('Mapa final'!$Y$43="Muy Alta",'Mapa final'!$AA$43="Catastrófico"),CONCATENATE("R6C",'Mapa final'!$O$43),"")</f>
        <v/>
      </c>
      <c r="AL11" s="55" t="str">
        <f>IF(AND('Mapa final'!$Y$44="Muy Alta",'Mapa final'!$AA$44="Catastrófico"),CONCATENATE("R6C",'Mapa final'!$O$44),"")</f>
        <v/>
      </c>
      <c r="AM11" s="56" t="str">
        <f>IF(AND('Mapa final'!$Y$45="Muy Alta",'Mapa final'!$AA$45="Catastrófico"),CONCATENATE("R6C",'Mapa final'!$O$45),"")</f>
        <v/>
      </c>
      <c r="AN11" s="82"/>
      <c r="AO11" s="387"/>
      <c r="AP11" s="388"/>
      <c r="AQ11" s="388"/>
      <c r="AR11" s="388"/>
      <c r="AS11" s="388"/>
      <c r="AT11" s="389"/>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282"/>
      <c r="C12" s="282"/>
      <c r="D12" s="283"/>
      <c r="E12" s="381"/>
      <c r="F12" s="380"/>
      <c r="G12" s="380"/>
      <c r="H12" s="380"/>
      <c r="I12" s="396"/>
      <c r="J12" s="51" t="str">
        <f>IF(AND('Mapa final'!$Y$46="Muy Alta",'Mapa final'!$AA$46="Leve"),CONCATENATE("R7C",'Mapa final'!$O$46),"")</f>
        <v/>
      </c>
      <c r="K12" s="52" t="str">
        <f>IF(AND('Mapa final'!$Y$47="Muy Alta",'Mapa final'!$AA$47="Leve"),CONCATENATE("R7C",'Mapa final'!$O$47),"")</f>
        <v/>
      </c>
      <c r="L12" s="52" t="str">
        <f>IF(AND('Mapa final'!$Y$48="Muy Alta",'Mapa final'!$AA$48="Leve"),CONCATENATE("R7C",'Mapa final'!$O$48),"")</f>
        <v/>
      </c>
      <c r="M12" s="52" t="str">
        <f>IF(AND('Mapa final'!$Y$49="Muy Alta",'Mapa final'!$AA$49="Leve"),CONCATENATE("R7C",'Mapa final'!$O$49),"")</f>
        <v/>
      </c>
      <c r="N12" s="52" t="str">
        <f>IF(AND('Mapa final'!$Y$50="Muy Alta",'Mapa final'!$AA$50="Leve"),CONCATENATE("R7C",'Mapa final'!$O$50),"")</f>
        <v/>
      </c>
      <c r="O12" s="53" t="str">
        <f>IF(AND('Mapa final'!$Y$51="Muy Alta",'Mapa final'!$AA$51="Leve"),CONCATENATE("R7C",'Mapa final'!$O$51),"")</f>
        <v/>
      </c>
      <c r="P12" s="51" t="str">
        <f>IF(AND('Mapa final'!$Y$46="Muy Alta",'Mapa final'!$AA$46="Menor"),CONCATENATE("R7C",'Mapa final'!$O$46),"")</f>
        <v/>
      </c>
      <c r="Q12" s="52" t="str">
        <f>IF(AND('Mapa final'!$Y$47="Muy Alta",'Mapa final'!$AA$47="Menor"),CONCATENATE("R7C",'Mapa final'!$O$47),"")</f>
        <v/>
      </c>
      <c r="R12" s="52" t="str">
        <f>IF(AND('Mapa final'!$Y$48="Muy Alta",'Mapa final'!$AA$48="Menor"),CONCATENATE("R7C",'Mapa final'!$O$48),"")</f>
        <v/>
      </c>
      <c r="S12" s="52" t="str">
        <f>IF(AND('Mapa final'!$Y$49="Muy Alta",'Mapa final'!$AA$49="Menor"),CONCATENATE("R7C",'Mapa final'!$O$49),"")</f>
        <v/>
      </c>
      <c r="T12" s="52" t="str">
        <f>IF(AND('Mapa final'!$Y$50="Muy Alta",'Mapa final'!$AA$50="Menor"),CONCATENATE("R7C",'Mapa final'!$O$50),"")</f>
        <v/>
      </c>
      <c r="U12" s="53" t="str">
        <f>IF(AND('Mapa final'!$Y$51="Muy Alta",'Mapa final'!$AA$51="Menor"),CONCATENATE("R7C",'Mapa final'!$O$51),"")</f>
        <v/>
      </c>
      <c r="V12" s="51" t="str">
        <f>IF(AND('Mapa final'!$Y$46="Muy Alta",'Mapa final'!$AA$46="Moderado"),CONCATENATE("R7C",'Mapa final'!$O$46),"")</f>
        <v/>
      </c>
      <c r="W12" s="52" t="str">
        <f>IF(AND('Mapa final'!$Y$47="Muy Alta",'Mapa final'!$AA$47="Moderado"),CONCATENATE("R7C",'Mapa final'!$O$47),"")</f>
        <v/>
      </c>
      <c r="X12" s="52" t="str">
        <f>IF(AND('Mapa final'!$Y$48="Muy Alta",'Mapa final'!$AA$48="Moderado"),CONCATENATE("R7C",'Mapa final'!$O$48),"")</f>
        <v/>
      </c>
      <c r="Y12" s="52" t="str">
        <f>IF(AND('Mapa final'!$Y$49="Muy Alta",'Mapa final'!$AA$49="Moderado"),CONCATENATE("R7C",'Mapa final'!$O$49),"")</f>
        <v/>
      </c>
      <c r="Z12" s="52" t="str">
        <f>IF(AND('Mapa final'!$Y$50="Muy Alta",'Mapa final'!$AA$50="Moderado"),CONCATENATE("R7C",'Mapa final'!$O$50),"")</f>
        <v/>
      </c>
      <c r="AA12" s="53" t="str">
        <f>IF(AND('Mapa final'!$Y$51="Muy Alta",'Mapa final'!$AA$51="Moderado"),CONCATENATE("R7C",'Mapa final'!$O$51),"")</f>
        <v/>
      </c>
      <c r="AB12" s="51" t="str">
        <f>IF(AND('Mapa final'!$Y$46="Muy Alta",'Mapa final'!$AA$46="Mayor"),CONCATENATE("R7C",'Mapa final'!$O$46),"")</f>
        <v/>
      </c>
      <c r="AC12" s="52" t="str">
        <f>IF(AND('Mapa final'!$Y$47="Muy Alta",'Mapa final'!$AA$47="Mayor"),CONCATENATE("R7C",'Mapa final'!$O$47),"")</f>
        <v/>
      </c>
      <c r="AD12" s="52" t="str">
        <f>IF(AND('Mapa final'!$Y$48="Muy Alta",'Mapa final'!$AA$48="Mayor"),CONCATENATE("R7C",'Mapa final'!$O$48),"")</f>
        <v/>
      </c>
      <c r="AE12" s="52" t="str">
        <f>IF(AND('Mapa final'!$Y$49="Muy Alta",'Mapa final'!$AA$49="Mayor"),CONCATENATE("R7C",'Mapa final'!$O$49),"")</f>
        <v/>
      </c>
      <c r="AF12" s="52" t="str">
        <f>IF(AND('Mapa final'!$Y$50="Muy Alta",'Mapa final'!$AA$50="Mayor"),CONCATENATE("R7C",'Mapa final'!$O$50),"")</f>
        <v/>
      </c>
      <c r="AG12" s="53" t="str">
        <f>IF(AND('Mapa final'!$Y$51="Muy Alta",'Mapa final'!$AA$51="Mayor"),CONCATENATE("R7C",'Mapa final'!$O$51),"")</f>
        <v/>
      </c>
      <c r="AH12" s="54" t="str">
        <f>IF(AND('Mapa final'!$Y$46="Muy Alta",'Mapa final'!$AA$46="Catastrófico"),CONCATENATE("R7C",'Mapa final'!$O$46),"")</f>
        <v/>
      </c>
      <c r="AI12" s="55" t="str">
        <f>IF(AND('Mapa final'!$Y$47="Muy Alta",'Mapa final'!$AA$47="Catastrófico"),CONCATENATE("R7C",'Mapa final'!$O$47),"")</f>
        <v/>
      </c>
      <c r="AJ12" s="55" t="str">
        <f>IF(AND('Mapa final'!$Y$48="Muy Alta",'Mapa final'!$AA$48="Catastrófico"),CONCATENATE("R7C",'Mapa final'!$O$48),"")</f>
        <v/>
      </c>
      <c r="AK12" s="55" t="str">
        <f>IF(AND('Mapa final'!$Y$49="Muy Alta",'Mapa final'!$AA$49="Catastrófico"),CONCATENATE("R7C",'Mapa final'!$O$49),"")</f>
        <v/>
      </c>
      <c r="AL12" s="55" t="str">
        <f>IF(AND('Mapa final'!$Y$50="Muy Alta",'Mapa final'!$AA$50="Catastrófico"),CONCATENATE("R7C",'Mapa final'!$O$50),"")</f>
        <v/>
      </c>
      <c r="AM12" s="56" t="str">
        <f>IF(AND('Mapa final'!$Y$51="Muy Alta",'Mapa final'!$AA$51="Catastrófico"),CONCATENATE("R7C",'Mapa final'!$O$51),"")</f>
        <v/>
      </c>
      <c r="AN12" s="82"/>
      <c r="AO12" s="387"/>
      <c r="AP12" s="388"/>
      <c r="AQ12" s="388"/>
      <c r="AR12" s="388"/>
      <c r="AS12" s="388"/>
      <c r="AT12" s="389"/>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282"/>
      <c r="C13" s="282"/>
      <c r="D13" s="283"/>
      <c r="E13" s="381"/>
      <c r="F13" s="380"/>
      <c r="G13" s="380"/>
      <c r="H13" s="380"/>
      <c r="I13" s="396"/>
      <c r="J13" s="51" t="str">
        <f>IF(AND('Mapa final'!$Y$52="Muy Alta",'Mapa final'!$AA$52="Leve"),CONCATENATE("R8C",'Mapa final'!$O$52),"")</f>
        <v/>
      </c>
      <c r="K13" s="52" t="str">
        <f>IF(AND('Mapa final'!$Y$53="Muy Alta",'Mapa final'!$AA$53="Leve"),CONCATENATE("R8C",'Mapa final'!$O$53),"")</f>
        <v/>
      </c>
      <c r="L13" s="52" t="str">
        <f>IF(AND('Mapa final'!$Y$54="Muy Alta",'Mapa final'!$AA$54="Leve"),CONCATENATE("R8C",'Mapa final'!$O$54),"")</f>
        <v/>
      </c>
      <c r="M13" s="52" t="str">
        <f>IF(AND('Mapa final'!$Y$55="Muy Alta",'Mapa final'!$AA$55="Leve"),CONCATENATE("R8C",'Mapa final'!$O$55),"")</f>
        <v/>
      </c>
      <c r="N13" s="52" t="str">
        <f>IF(AND('Mapa final'!$Y$56="Muy Alta",'Mapa final'!$AA$56="Leve"),CONCATENATE("R8C",'Mapa final'!$O$56),"")</f>
        <v/>
      </c>
      <c r="O13" s="53" t="str">
        <f>IF(AND('Mapa final'!$Y$57="Muy Alta",'Mapa final'!$AA$57="Leve"),CONCATENATE("R8C",'Mapa final'!$O$57),"")</f>
        <v/>
      </c>
      <c r="P13" s="51" t="str">
        <f>IF(AND('Mapa final'!$Y$52="Muy Alta",'Mapa final'!$AA$52="Menor"),CONCATENATE("R8C",'Mapa final'!$O$52),"")</f>
        <v/>
      </c>
      <c r="Q13" s="52" t="str">
        <f>IF(AND('Mapa final'!$Y$53="Muy Alta",'Mapa final'!$AA$53="Menor"),CONCATENATE("R8C",'Mapa final'!$O$53),"")</f>
        <v/>
      </c>
      <c r="R13" s="52" t="str">
        <f>IF(AND('Mapa final'!$Y$54="Muy Alta",'Mapa final'!$AA$54="Menor"),CONCATENATE("R8C",'Mapa final'!$O$54),"")</f>
        <v/>
      </c>
      <c r="S13" s="52" t="str">
        <f>IF(AND('Mapa final'!$Y$55="Muy Alta",'Mapa final'!$AA$55="Menor"),CONCATENATE("R8C",'Mapa final'!$O$55),"")</f>
        <v/>
      </c>
      <c r="T13" s="52" t="str">
        <f>IF(AND('Mapa final'!$Y$56="Muy Alta",'Mapa final'!$AA$56="Menor"),CONCATENATE("R8C",'Mapa final'!$O$56),"")</f>
        <v/>
      </c>
      <c r="U13" s="53" t="str">
        <f>IF(AND('Mapa final'!$Y$57="Muy Alta",'Mapa final'!$AA$57="Menor"),CONCATENATE("R8C",'Mapa final'!$O$57),"")</f>
        <v/>
      </c>
      <c r="V13" s="51" t="str">
        <f>IF(AND('Mapa final'!$Y$52="Muy Alta",'Mapa final'!$AA$52="Moderado"),CONCATENATE("R8C",'Mapa final'!$O$52),"")</f>
        <v/>
      </c>
      <c r="W13" s="52" t="str">
        <f>IF(AND('Mapa final'!$Y$53="Muy Alta",'Mapa final'!$AA$53="Moderado"),CONCATENATE("R8C",'Mapa final'!$O$53),"")</f>
        <v/>
      </c>
      <c r="X13" s="52" t="str">
        <f>IF(AND('Mapa final'!$Y$54="Muy Alta",'Mapa final'!$AA$54="Moderado"),CONCATENATE("R8C",'Mapa final'!$O$54),"")</f>
        <v/>
      </c>
      <c r="Y13" s="52" t="str">
        <f>IF(AND('Mapa final'!$Y$55="Muy Alta",'Mapa final'!$AA$55="Moderado"),CONCATENATE("R8C",'Mapa final'!$O$55),"")</f>
        <v/>
      </c>
      <c r="Z13" s="52" t="str">
        <f>IF(AND('Mapa final'!$Y$56="Muy Alta",'Mapa final'!$AA$56="Moderado"),CONCATENATE("R8C",'Mapa final'!$O$56),"")</f>
        <v/>
      </c>
      <c r="AA13" s="53" t="str">
        <f>IF(AND('Mapa final'!$Y$57="Muy Alta",'Mapa final'!$AA$57="Moderado"),CONCATENATE("R8C",'Mapa final'!$O$57),"")</f>
        <v/>
      </c>
      <c r="AB13" s="51" t="str">
        <f>IF(AND('Mapa final'!$Y$52="Muy Alta",'Mapa final'!$AA$52="Mayor"),CONCATENATE("R8C",'Mapa final'!$O$52),"")</f>
        <v/>
      </c>
      <c r="AC13" s="52" t="str">
        <f>IF(AND('Mapa final'!$Y$53="Muy Alta",'Mapa final'!$AA$53="Mayor"),CONCATENATE("R8C",'Mapa final'!$O$53),"")</f>
        <v/>
      </c>
      <c r="AD13" s="52" t="str">
        <f>IF(AND('Mapa final'!$Y$54="Muy Alta",'Mapa final'!$AA$54="Mayor"),CONCATENATE("R8C",'Mapa final'!$O$54),"")</f>
        <v/>
      </c>
      <c r="AE13" s="52" t="str">
        <f>IF(AND('Mapa final'!$Y$55="Muy Alta",'Mapa final'!$AA$55="Mayor"),CONCATENATE("R8C",'Mapa final'!$O$55),"")</f>
        <v/>
      </c>
      <c r="AF13" s="52" t="str">
        <f>IF(AND('Mapa final'!$Y$56="Muy Alta",'Mapa final'!$AA$56="Mayor"),CONCATENATE("R8C",'Mapa final'!$O$56),"")</f>
        <v/>
      </c>
      <c r="AG13" s="53" t="str">
        <f>IF(AND('Mapa final'!$Y$57="Muy Alta",'Mapa final'!$AA$57="Mayor"),CONCATENATE("R8C",'Mapa final'!$O$57),"")</f>
        <v/>
      </c>
      <c r="AH13" s="54" t="str">
        <f>IF(AND('Mapa final'!$Y$52="Muy Alta",'Mapa final'!$AA$52="Catastrófico"),CONCATENATE("R8C",'Mapa final'!$O$52),"")</f>
        <v/>
      </c>
      <c r="AI13" s="55" t="str">
        <f>IF(AND('Mapa final'!$Y$53="Muy Alta",'Mapa final'!$AA$53="Catastrófico"),CONCATENATE("R8C",'Mapa final'!$O$53),"")</f>
        <v/>
      </c>
      <c r="AJ13" s="55" t="str">
        <f>IF(AND('Mapa final'!$Y$54="Muy Alta",'Mapa final'!$AA$54="Catastrófico"),CONCATENATE("R8C",'Mapa final'!$O$54),"")</f>
        <v/>
      </c>
      <c r="AK13" s="55" t="str">
        <f>IF(AND('Mapa final'!$Y$55="Muy Alta",'Mapa final'!$AA$55="Catastrófico"),CONCATENATE("R8C",'Mapa final'!$O$55),"")</f>
        <v/>
      </c>
      <c r="AL13" s="55" t="str">
        <f>IF(AND('Mapa final'!$Y$56="Muy Alta",'Mapa final'!$AA$56="Catastrófico"),CONCATENATE("R8C",'Mapa final'!$O$56),"")</f>
        <v/>
      </c>
      <c r="AM13" s="56" t="str">
        <f>IF(AND('Mapa final'!$Y$57="Muy Alta",'Mapa final'!$AA$57="Catastrófico"),CONCATENATE("R8C",'Mapa final'!$O$57),"")</f>
        <v/>
      </c>
      <c r="AN13" s="82"/>
      <c r="AO13" s="387"/>
      <c r="AP13" s="388"/>
      <c r="AQ13" s="388"/>
      <c r="AR13" s="388"/>
      <c r="AS13" s="388"/>
      <c r="AT13" s="389"/>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282"/>
      <c r="C14" s="282"/>
      <c r="D14" s="283"/>
      <c r="E14" s="381"/>
      <c r="F14" s="380"/>
      <c r="G14" s="380"/>
      <c r="H14" s="380"/>
      <c r="I14" s="396"/>
      <c r="J14" s="51" t="str">
        <f>IF(AND('Mapa final'!$Y$58="Muy Alta",'Mapa final'!$AA$58="Leve"),CONCATENATE("R9C",'Mapa final'!$O$58),"")</f>
        <v/>
      </c>
      <c r="K14" s="52" t="str">
        <f>IF(AND('Mapa final'!$Y$59="Muy Alta",'Mapa final'!$AA$59="Leve"),CONCATENATE("R9C",'Mapa final'!$O$59),"")</f>
        <v/>
      </c>
      <c r="L14" s="52" t="str">
        <f>IF(AND('Mapa final'!$Y$60="Muy Alta",'Mapa final'!$AA$60="Leve"),CONCATENATE("R9C",'Mapa final'!$O$60),"")</f>
        <v/>
      </c>
      <c r="M14" s="52" t="str">
        <f>IF(AND('Mapa final'!$Y$61="Muy Alta",'Mapa final'!$AA$61="Leve"),CONCATENATE("R9C",'Mapa final'!$O$61),"")</f>
        <v/>
      </c>
      <c r="N14" s="52" t="str">
        <f>IF(AND('Mapa final'!$Y$62="Muy Alta",'Mapa final'!$AA$62="Leve"),CONCATENATE("R9C",'Mapa final'!$O$62),"")</f>
        <v/>
      </c>
      <c r="O14" s="53" t="str">
        <f>IF(AND('Mapa final'!$Y$63="Muy Alta",'Mapa final'!$AA$63="Leve"),CONCATENATE("R9C",'Mapa final'!$O$63),"")</f>
        <v/>
      </c>
      <c r="P14" s="51" t="str">
        <f>IF(AND('Mapa final'!$Y$58="Muy Alta",'Mapa final'!$AA$58="Menor"),CONCATENATE("R9C",'Mapa final'!$O$58),"")</f>
        <v/>
      </c>
      <c r="Q14" s="52" t="str">
        <f>IF(AND('Mapa final'!$Y$59="Muy Alta",'Mapa final'!$AA$59="Menor"),CONCATENATE("R9C",'Mapa final'!$O$59),"")</f>
        <v/>
      </c>
      <c r="R14" s="52" t="str">
        <f>IF(AND('Mapa final'!$Y$60="Muy Alta",'Mapa final'!$AA$60="Menor"),CONCATENATE("R9C",'Mapa final'!$O$60),"")</f>
        <v/>
      </c>
      <c r="S14" s="52" t="str">
        <f>IF(AND('Mapa final'!$Y$61="Muy Alta",'Mapa final'!$AA$61="Menor"),CONCATENATE("R9C",'Mapa final'!$O$61),"")</f>
        <v/>
      </c>
      <c r="T14" s="52" t="str">
        <f>IF(AND('Mapa final'!$Y$62="Muy Alta",'Mapa final'!$AA$62="Menor"),CONCATENATE("R9C",'Mapa final'!$O$62),"")</f>
        <v/>
      </c>
      <c r="U14" s="53" t="str">
        <f>IF(AND('Mapa final'!$Y$63="Muy Alta",'Mapa final'!$AA$63="Menor"),CONCATENATE("R9C",'Mapa final'!$O$63),"")</f>
        <v/>
      </c>
      <c r="V14" s="51" t="str">
        <f>IF(AND('Mapa final'!$Y$58="Muy Alta",'Mapa final'!$AA$58="Moderado"),CONCATENATE("R9C",'Mapa final'!$O$58),"")</f>
        <v/>
      </c>
      <c r="W14" s="52" t="str">
        <f>IF(AND('Mapa final'!$Y$59="Muy Alta",'Mapa final'!$AA$59="Moderado"),CONCATENATE("R9C",'Mapa final'!$O$59),"")</f>
        <v/>
      </c>
      <c r="X14" s="52" t="str">
        <f>IF(AND('Mapa final'!$Y$60="Muy Alta",'Mapa final'!$AA$60="Moderado"),CONCATENATE("R9C",'Mapa final'!$O$60),"")</f>
        <v/>
      </c>
      <c r="Y14" s="52" t="str">
        <f>IF(AND('Mapa final'!$Y$61="Muy Alta",'Mapa final'!$AA$61="Moderado"),CONCATENATE("R9C",'Mapa final'!$O$61),"")</f>
        <v/>
      </c>
      <c r="Z14" s="52" t="str">
        <f>IF(AND('Mapa final'!$Y$62="Muy Alta",'Mapa final'!$AA$62="Moderado"),CONCATENATE("R9C",'Mapa final'!$O$62),"")</f>
        <v/>
      </c>
      <c r="AA14" s="53" t="str">
        <f>IF(AND('Mapa final'!$Y$63="Muy Alta",'Mapa final'!$AA$63="Moderado"),CONCATENATE("R9C",'Mapa final'!$O$63),"")</f>
        <v/>
      </c>
      <c r="AB14" s="51" t="str">
        <f>IF(AND('Mapa final'!$Y$58="Muy Alta",'Mapa final'!$AA$58="Mayor"),CONCATENATE("R9C",'Mapa final'!$O$58),"")</f>
        <v/>
      </c>
      <c r="AC14" s="52" t="str">
        <f>IF(AND('Mapa final'!$Y$59="Muy Alta",'Mapa final'!$AA$59="Mayor"),CONCATENATE("R9C",'Mapa final'!$O$59),"")</f>
        <v/>
      </c>
      <c r="AD14" s="52" t="str">
        <f>IF(AND('Mapa final'!$Y$60="Muy Alta",'Mapa final'!$AA$60="Mayor"),CONCATENATE("R9C",'Mapa final'!$O$60),"")</f>
        <v/>
      </c>
      <c r="AE14" s="52" t="str">
        <f>IF(AND('Mapa final'!$Y$61="Muy Alta",'Mapa final'!$AA$61="Mayor"),CONCATENATE("R9C",'Mapa final'!$O$61),"")</f>
        <v/>
      </c>
      <c r="AF14" s="52" t="str">
        <f>IF(AND('Mapa final'!$Y$62="Muy Alta",'Mapa final'!$AA$62="Mayor"),CONCATENATE("R9C",'Mapa final'!$O$62),"")</f>
        <v/>
      </c>
      <c r="AG14" s="53" t="str">
        <f>IF(AND('Mapa final'!$Y$63="Muy Alta",'Mapa final'!$AA$63="Mayor"),CONCATENATE("R9C",'Mapa final'!$O$63),"")</f>
        <v/>
      </c>
      <c r="AH14" s="54" t="str">
        <f>IF(AND('Mapa final'!$Y$58="Muy Alta",'Mapa final'!$AA$58="Catastrófico"),CONCATENATE("R9C",'Mapa final'!$O$58),"")</f>
        <v/>
      </c>
      <c r="AI14" s="55" t="str">
        <f>IF(AND('Mapa final'!$Y$59="Muy Alta",'Mapa final'!$AA$59="Catastrófico"),CONCATENATE("R9C",'Mapa final'!$O$59),"")</f>
        <v/>
      </c>
      <c r="AJ14" s="55" t="str">
        <f>IF(AND('Mapa final'!$Y$60="Muy Alta",'Mapa final'!$AA$60="Catastrófico"),CONCATENATE("R9C",'Mapa final'!$O$60),"")</f>
        <v/>
      </c>
      <c r="AK14" s="55" t="str">
        <f>IF(AND('Mapa final'!$Y$61="Muy Alta",'Mapa final'!$AA$61="Catastrófico"),CONCATENATE("R9C",'Mapa final'!$O$61),"")</f>
        <v/>
      </c>
      <c r="AL14" s="55" t="str">
        <f>IF(AND('Mapa final'!$Y$62="Muy Alta",'Mapa final'!$AA$62="Catastrófico"),CONCATENATE("R9C",'Mapa final'!$O$62),"")</f>
        <v/>
      </c>
      <c r="AM14" s="56" t="str">
        <f>IF(AND('Mapa final'!$Y$63="Muy Alta",'Mapa final'!$AA$63="Catastrófico"),CONCATENATE("R9C",'Mapa final'!$O$63),"")</f>
        <v/>
      </c>
      <c r="AN14" s="82"/>
      <c r="AO14" s="387"/>
      <c r="AP14" s="388"/>
      <c r="AQ14" s="388"/>
      <c r="AR14" s="388"/>
      <c r="AS14" s="388"/>
      <c r="AT14" s="389"/>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282"/>
      <c r="C15" s="282"/>
      <c r="D15" s="283"/>
      <c r="E15" s="382"/>
      <c r="F15" s="383"/>
      <c r="G15" s="383"/>
      <c r="H15" s="383"/>
      <c r="I15" s="397"/>
      <c r="J15" s="57" t="str">
        <f>IF(AND('Mapa final'!$Y$64="Muy Alta",'Mapa final'!$AA$64="Leve"),CONCATENATE("R10C",'Mapa final'!$O$64),"")</f>
        <v/>
      </c>
      <c r="K15" s="58" t="str">
        <f>IF(AND('Mapa final'!$Y$65="Muy Alta",'Mapa final'!$AA$65="Leve"),CONCATENATE("R10C",'Mapa final'!$O$65),"")</f>
        <v/>
      </c>
      <c r="L15" s="58" t="str">
        <f>IF(AND('Mapa final'!$Y$66="Muy Alta",'Mapa final'!$AA$66="Leve"),CONCATENATE("R10C",'Mapa final'!$O$66),"")</f>
        <v/>
      </c>
      <c r="M15" s="58" t="str">
        <f>IF(AND('Mapa final'!$Y$67="Muy Alta",'Mapa final'!$AA$67="Leve"),CONCATENATE("R10C",'Mapa final'!$O$67),"")</f>
        <v/>
      </c>
      <c r="N15" s="58" t="str">
        <f>IF(AND('Mapa final'!$Y$68="Muy Alta",'Mapa final'!$AA$68="Leve"),CONCATENATE("R10C",'Mapa final'!$O$68),"")</f>
        <v/>
      </c>
      <c r="O15" s="59" t="str">
        <f>IF(AND('Mapa final'!$Y$69="Muy Alta",'Mapa final'!$AA$69="Leve"),CONCATENATE("R10C",'Mapa final'!$O$69),"")</f>
        <v/>
      </c>
      <c r="P15" s="51" t="str">
        <f>IF(AND('Mapa final'!$Y$64="Muy Alta",'Mapa final'!$AA$64="Menor"),CONCATENATE("R10C",'Mapa final'!$O$64),"")</f>
        <v/>
      </c>
      <c r="Q15" s="52" t="str">
        <f>IF(AND('Mapa final'!$Y$65="Muy Alta",'Mapa final'!$AA$65="Menor"),CONCATENATE("R10C",'Mapa final'!$O$65),"")</f>
        <v/>
      </c>
      <c r="R15" s="52" t="str">
        <f>IF(AND('Mapa final'!$Y$66="Muy Alta",'Mapa final'!$AA$66="Menor"),CONCATENATE("R10C",'Mapa final'!$O$66),"")</f>
        <v/>
      </c>
      <c r="S15" s="52" t="str">
        <f>IF(AND('Mapa final'!$Y$67="Muy Alta",'Mapa final'!$AA$67="Menor"),CONCATENATE("R10C",'Mapa final'!$O$67),"")</f>
        <v/>
      </c>
      <c r="T15" s="52" t="str">
        <f>IF(AND('Mapa final'!$Y$68="Muy Alta",'Mapa final'!$AA$68="Menor"),CONCATENATE("R10C",'Mapa final'!$O$68),"")</f>
        <v/>
      </c>
      <c r="U15" s="53" t="str">
        <f>IF(AND('Mapa final'!$Y$69="Muy Alta",'Mapa final'!$AA$69="Menor"),CONCATENATE("R10C",'Mapa final'!$O$69),"")</f>
        <v/>
      </c>
      <c r="V15" s="57" t="str">
        <f>IF(AND('Mapa final'!$Y$64="Muy Alta",'Mapa final'!$AA$64="Moderado"),CONCATENATE("R10C",'Mapa final'!$O$64),"")</f>
        <v/>
      </c>
      <c r="W15" s="58" t="str">
        <f>IF(AND('Mapa final'!$Y$65="Muy Alta",'Mapa final'!$AA$65="Moderado"),CONCATENATE("R10C",'Mapa final'!$O$65),"")</f>
        <v/>
      </c>
      <c r="X15" s="58" t="str">
        <f>IF(AND('Mapa final'!$Y$66="Muy Alta",'Mapa final'!$AA$66="Moderado"),CONCATENATE("R10C",'Mapa final'!$O$66),"")</f>
        <v/>
      </c>
      <c r="Y15" s="58" t="str">
        <f>IF(AND('Mapa final'!$Y$67="Muy Alta",'Mapa final'!$AA$67="Moderado"),CONCATENATE("R10C",'Mapa final'!$O$67),"")</f>
        <v/>
      </c>
      <c r="Z15" s="58" t="str">
        <f>IF(AND('Mapa final'!$Y$68="Muy Alta",'Mapa final'!$AA$68="Moderado"),CONCATENATE("R10C",'Mapa final'!$O$68),"")</f>
        <v/>
      </c>
      <c r="AA15" s="59" t="str">
        <f>IF(AND('Mapa final'!$Y$69="Muy Alta",'Mapa final'!$AA$69="Moderado"),CONCATENATE("R10C",'Mapa final'!$O$69),"")</f>
        <v/>
      </c>
      <c r="AB15" s="51" t="str">
        <f>IF(AND('Mapa final'!$Y$64="Muy Alta",'Mapa final'!$AA$64="Mayor"),CONCATENATE("R10C",'Mapa final'!$O$64),"")</f>
        <v/>
      </c>
      <c r="AC15" s="52" t="str">
        <f>IF(AND('Mapa final'!$Y$65="Muy Alta",'Mapa final'!$AA$65="Mayor"),CONCATENATE("R10C",'Mapa final'!$O$65),"")</f>
        <v/>
      </c>
      <c r="AD15" s="52" t="str">
        <f>IF(AND('Mapa final'!$Y$66="Muy Alta",'Mapa final'!$AA$66="Mayor"),CONCATENATE("R10C",'Mapa final'!$O$66),"")</f>
        <v/>
      </c>
      <c r="AE15" s="52" t="str">
        <f>IF(AND('Mapa final'!$Y$67="Muy Alta",'Mapa final'!$AA$67="Mayor"),CONCATENATE("R10C",'Mapa final'!$O$67),"")</f>
        <v/>
      </c>
      <c r="AF15" s="52" t="str">
        <f>IF(AND('Mapa final'!$Y$68="Muy Alta",'Mapa final'!$AA$68="Mayor"),CONCATENATE("R10C",'Mapa final'!$O$68),"")</f>
        <v/>
      </c>
      <c r="AG15" s="53" t="str">
        <f>IF(AND('Mapa final'!$Y$69="Muy Alta",'Mapa final'!$AA$69="Mayor"),CONCATENATE("R10C",'Mapa final'!$O$69),"")</f>
        <v/>
      </c>
      <c r="AH15" s="60" t="str">
        <f>IF(AND('Mapa final'!$Y$64="Muy Alta",'Mapa final'!$AA$64="Catastrófico"),CONCATENATE("R10C",'Mapa final'!$O$64),"")</f>
        <v/>
      </c>
      <c r="AI15" s="61" t="str">
        <f>IF(AND('Mapa final'!$Y$65="Muy Alta",'Mapa final'!$AA$65="Catastrófico"),CONCATENATE("R10C",'Mapa final'!$O$65),"")</f>
        <v/>
      </c>
      <c r="AJ15" s="61" t="str">
        <f>IF(AND('Mapa final'!$Y$66="Muy Alta",'Mapa final'!$AA$66="Catastrófico"),CONCATENATE("R10C",'Mapa final'!$O$66),"")</f>
        <v/>
      </c>
      <c r="AK15" s="61" t="str">
        <f>IF(AND('Mapa final'!$Y$67="Muy Alta",'Mapa final'!$AA$67="Catastrófico"),CONCATENATE("R10C",'Mapa final'!$O$67),"")</f>
        <v/>
      </c>
      <c r="AL15" s="61" t="str">
        <f>IF(AND('Mapa final'!$Y$68="Muy Alta",'Mapa final'!$AA$68="Catastrófico"),CONCATENATE("R10C",'Mapa final'!$O$68),"")</f>
        <v/>
      </c>
      <c r="AM15" s="62" t="str">
        <f>IF(AND('Mapa final'!$Y$69="Muy Alta",'Mapa final'!$AA$69="Catastrófico"),CONCATENATE("R10C",'Mapa final'!$O$69),"")</f>
        <v/>
      </c>
      <c r="AN15" s="82"/>
      <c r="AO15" s="390"/>
      <c r="AP15" s="391"/>
      <c r="AQ15" s="391"/>
      <c r="AR15" s="391"/>
      <c r="AS15" s="391"/>
      <c r="AT15" s="39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282"/>
      <c r="C16" s="282"/>
      <c r="D16" s="283"/>
      <c r="E16" s="377" t="s">
        <v>114</v>
      </c>
      <c r="F16" s="378"/>
      <c r="G16" s="378"/>
      <c r="H16" s="378"/>
      <c r="I16" s="378"/>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68" t="s">
        <v>79</v>
      </c>
      <c r="AP16" s="369"/>
      <c r="AQ16" s="369"/>
      <c r="AR16" s="369"/>
      <c r="AS16" s="369"/>
      <c r="AT16" s="370"/>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282"/>
      <c r="C17" s="282"/>
      <c r="D17" s="283"/>
      <c r="E17" s="379"/>
      <c r="F17" s="380"/>
      <c r="G17" s="380"/>
      <c r="H17" s="380"/>
      <c r="I17" s="380"/>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71"/>
      <c r="AP17" s="372"/>
      <c r="AQ17" s="372"/>
      <c r="AR17" s="372"/>
      <c r="AS17" s="372"/>
      <c r="AT17" s="373"/>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282"/>
      <c r="C18" s="282"/>
      <c r="D18" s="283"/>
      <c r="E18" s="381"/>
      <c r="F18" s="380"/>
      <c r="G18" s="380"/>
      <c r="H18" s="380"/>
      <c r="I18" s="380"/>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71"/>
      <c r="AP18" s="372"/>
      <c r="AQ18" s="372"/>
      <c r="AR18" s="372"/>
      <c r="AS18" s="372"/>
      <c r="AT18" s="373"/>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282"/>
      <c r="C19" s="282"/>
      <c r="D19" s="283"/>
      <c r="E19" s="381"/>
      <c r="F19" s="380"/>
      <c r="G19" s="380"/>
      <c r="H19" s="380"/>
      <c r="I19" s="380"/>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71"/>
      <c r="AP19" s="372"/>
      <c r="AQ19" s="372"/>
      <c r="AR19" s="372"/>
      <c r="AS19" s="372"/>
      <c r="AT19" s="373"/>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282"/>
      <c r="C20" s="282"/>
      <c r="D20" s="283"/>
      <c r="E20" s="381"/>
      <c r="F20" s="380"/>
      <c r="G20" s="380"/>
      <c r="H20" s="380"/>
      <c r="I20" s="380"/>
      <c r="J20" s="66" t="str">
        <f>IF(AND('Mapa final'!$Y$34="Alta",'Mapa final'!$AA$34="Leve"),CONCATENATE("R5C",'Mapa final'!$O$34),"")</f>
        <v/>
      </c>
      <c r="K20" s="67" t="str">
        <f>IF(AND('Mapa final'!$Y$35="Alta",'Mapa final'!$AA$35="Leve"),CONCATENATE("R5C",'Mapa final'!$O$35),"")</f>
        <v/>
      </c>
      <c r="L20" s="67" t="str">
        <f>IF(AND('Mapa final'!$Y$36="Alta",'Mapa final'!$AA$36="Leve"),CONCATENATE("R5C",'Mapa final'!$O$36),"")</f>
        <v/>
      </c>
      <c r="M20" s="67" t="str">
        <f>IF(AND('Mapa final'!$Y$37="Alta",'Mapa final'!$AA$37="Leve"),CONCATENATE("R5C",'Mapa final'!$O$37),"")</f>
        <v/>
      </c>
      <c r="N20" s="67" t="str">
        <f>IF(AND('Mapa final'!$Y$38="Alta",'Mapa final'!$AA$38="Leve"),CONCATENATE("R5C",'Mapa final'!$O$38),"")</f>
        <v/>
      </c>
      <c r="O20" s="68" t="str">
        <f>IF(AND('Mapa final'!$Y$39="Alta",'Mapa final'!$AA$39="Leve"),CONCATENATE("R5C",'Mapa final'!$O$39),"")</f>
        <v/>
      </c>
      <c r="P20" s="66" t="str">
        <f>IF(AND('Mapa final'!$Y$34="Alta",'Mapa final'!$AA$34="Menor"),CONCATENATE("R5C",'Mapa final'!$O$34),"")</f>
        <v/>
      </c>
      <c r="Q20" s="67" t="str">
        <f>IF(AND('Mapa final'!$Y$35="Alta",'Mapa final'!$AA$35="Menor"),CONCATENATE("R5C",'Mapa final'!$O$35),"")</f>
        <v/>
      </c>
      <c r="R20" s="67" t="str">
        <f>IF(AND('Mapa final'!$Y$36="Alta",'Mapa final'!$AA$36="Menor"),CONCATENATE("R5C",'Mapa final'!$O$36),"")</f>
        <v/>
      </c>
      <c r="S20" s="67" t="str">
        <f>IF(AND('Mapa final'!$Y$37="Alta",'Mapa final'!$AA$37="Menor"),CONCATENATE("R5C",'Mapa final'!$O$37),"")</f>
        <v/>
      </c>
      <c r="T20" s="67" t="str">
        <f>IF(AND('Mapa final'!$Y$38="Alta",'Mapa final'!$AA$38="Menor"),CONCATENATE("R5C",'Mapa final'!$O$38),"")</f>
        <v/>
      </c>
      <c r="U20" s="68" t="str">
        <f>IF(AND('Mapa final'!$Y$39="Alta",'Mapa final'!$AA$39="Menor"),CONCATENATE("R5C",'Mapa final'!$O$39),"")</f>
        <v/>
      </c>
      <c r="V20" s="51" t="str">
        <f>IF(AND('Mapa final'!$Y$34="Alta",'Mapa final'!$AA$34="Moderado"),CONCATENATE("R5C",'Mapa final'!$O$34),"")</f>
        <v/>
      </c>
      <c r="W20" s="52" t="str">
        <f>IF(AND('Mapa final'!$Y$35="Alta",'Mapa final'!$AA$35="Moderado"),CONCATENATE("R5C",'Mapa final'!$O$35),"")</f>
        <v/>
      </c>
      <c r="X20" s="52" t="str">
        <f>IF(AND('Mapa final'!$Y$36="Alta",'Mapa final'!$AA$36="Moderado"),CONCATENATE("R5C",'Mapa final'!$O$36),"")</f>
        <v/>
      </c>
      <c r="Y20" s="52" t="str">
        <f>IF(AND('Mapa final'!$Y$37="Alta",'Mapa final'!$AA$37="Moderado"),CONCATENATE("R5C",'Mapa final'!$O$37),"")</f>
        <v/>
      </c>
      <c r="Z20" s="52" t="str">
        <f>IF(AND('Mapa final'!$Y$38="Alta",'Mapa final'!$AA$38="Moderado"),CONCATENATE("R5C",'Mapa final'!$O$38),"")</f>
        <v/>
      </c>
      <c r="AA20" s="53" t="str">
        <f>IF(AND('Mapa final'!$Y$39="Alta",'Mapa final'!$AA$39="Moderado"),CONCATENATE("R5C",'Mapa final'!$O$39),"")</f>
        <v/>
      </c>
      <c r="AB20" s="51" t="str">
        <f>IF(AND('Mapa final'!$Y$34="Alta",'Mapa final'!$AA$34="Mayor"),CONCATENATE("R5C",'Mapa final'!$O$34),"")</f>
        <v/>
      </c>
      <c r="AC20" s="52" t="str">
        <f>IF(AND('Mapa final'!$Y$35="Alta",'Mapa final'!$AA$35="Mayor"),CONCATENATE("R5C",'Mapa final'!$O$35),"")</f>
        <v/>
      </c>
      <c r="AD20" s="52" t="str">
        <f>IF(AND('Mapa final'!$Y$36="Alta",'Mapa final'!$AA$36="Mayor"),CONCATENATE("R5C",'Mapa final'!$O$36),"")</f>
        <v/>
      </c>
      <c r="AE20" s="52" t="str">
        <f>IF(AND('Mapa final'!$Y$37="Alta",'Mapa final'!$AA$37="Mayor"),CONCATENATE("R5C",'Mapa final'!$O$37),"")</f>
        <v/>
      </c>
      <c r="AF20" s="52" t="str">
        <f>IF(AND('Mapa final'!$Y$38="Alta",'Mapa final'!$AA$38="Mayor"),CONCATENATE("R5C",'Mapa final'!$O$38),"")</f>
        <v/>
      </c>
      <c r="AG20" s="53" t="str">
        <f>IF(AND('Mapa final'!$Y$39="Alta",'Mapa final'!$AA$39="Mayor"),CONCATENATE("R5C",'Mapa final'!$O$39),"")</f>
        <v/>
      </c>
      <c r="AH20" s="54" t="str">
        <f>IF(AND('Mapa final'!$Y$34="Alta",'Mapa final'!$AA$34="Catastrófico"),CONCATENATE("R5C",'Mapa final'!$O$34),"")</f>
        <v/>
      </c>
      <c r="AI20" s="55" t="str">
        <f>IF(AND('Mapa final'!$Y$35="Alta",'Mapa final'!$AA$35="Catastrófico"),CONCATENATE("R5C",'Mapa final'!$O$35),"")</f>
        <v/>
      </c>
      <c r="AJ20" s="55" t="str">
        <f>IF(AND('Mapa final'!$Y$36="Alta",'Mapa final'!$AA$36="Catastrófico"),CONCATENATE("R5C",'Mapa final'!$O$36),"")</f>
        <v/>
      </c>
      <c r="AK20" s="55" t="str">
        <f>IF(AND('Mapa final'!$Y$37="Alta",'Mapa final'!$AA$37="Catastrófico"),CONCATENATE("R5C",'Mapa final'!$O$37),"")</f>
        <v/>
      </c>
      <c r="AL20" s="55" t="str">
        <f>IF(AND('Mapa final'!$Y$38="Alta",'Mapa final'!$AA$38="Catastrófico"),CONCATENATE("R5C",'Mapa final'!$O$38),"")</f>
        <v/>
      </c>
      <c r="AM20" s="56" t="str">
        <f>IF(AND('Mapa final'!$Y$39="Alta",'Mapa final'!$AA$39="Catastrófico"),CONCATENATE("R5C",'Mapa final'!$O$39),"")</f>
        <v/>
      </c>
      <c r="AN20" s="82"/>
      <c r="AO20" s="371"/>
      <c r="AP20" s="372"/>
      <c r="AQ20" s="372"/>
      <c r="AR20" s="372"/>
      <c r="AS20" s="372"/>
      <c r="AT20" s="373"/>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282"/>
      <c r="C21" s="282"/>
      <c r="D21" s="283"/>
      <c r="E21" s="381"/>
      <c r="F21" s="380"/>
      <c r="G21" s="380"/>
      <c r="H21" s="380"/>
      <c r="I21" s="380"/>
      <c r="J21" s="66" t="str">
        <f>IF(AND('Mapa final'!$Y$40="Alta",'Mapa final'!$AA$40="Leve"),CONCATENATE("R6C",'Mapa final'!$O$40),"")</f>
        <v/>
      </c>
      <c r="K21" s="67" t="str">
        <f>IF(AND('Mapa final'!$Y$41="Alta",'Mapa final'!$AA$41="Leve"),CONCATENATE("R6C",'Mapa final'!$O$41),"")</f>
        <v/>
      </c>
      <c r="L21" s="67" t="str">
        <f>IF(AND('Mapa final'!$Y$42="Alta",'Mapa final'!$AA$42="Leve"),CONCATENATE("R6C",'Mapa final'!$O$42),"")</f>
        <v/>
      </c>
      <c r="M21" s="67" t="str">
        <f>IF(AND('Mapa final'!$Y$43="Alta",'Mapa final'!$AA$43="Leve"),CONCATENATE("R6C",'Mapa final'!$O$43),"")</f>
        <v/>
      </c>
      <c r="N21" s="67" t="str">
        <f>IF(AND('Mapa final'!$Y$44="Alta",'Mapa final'!$AA$44="Leve"),CONCATENATE("R6C",'Mapa final'!$O$44),"")</f>
        <v/>
      </c>
      <c r="O21" s="68" t="str">
        <f>IF(AND('Mapa final'!$Y$45="Alta",'Mapa final'!$AA$45="Leve"),CONCATENATE("R6C",'Mapa final'!$O$45),"")</f>
        <v/>
      </c>
      <c r="P21" s="66" t="str">
        <f>IF(AND('Mapa final'!$Y$40="Alta",'Mapa final'!$AA$40="Menor"),CONCATENATE("R6C",'Mapa final'!$O$40),"")</f>
        <v/>
      </c>
      <c r="Q21" s="67" t="str">
        <f>IF(AND('Mapa final'!$Y$41="Alta",'Mapa final'!$AA$41="Menor"),CONCATENATE("R6C",'Mapa final'!$O$41),"")</f>
        <v/>
      </c>
      <c r="R21" s="67" t="str">
        <f>IF(AND('Mapa final'!$Y$42="Alta",'Mapa final'!$AA$42="Menor"),CONCATENATE("R6C",'Mapa final'!$O$42),"")</f>
        <v/>
      </c>
      <c r="S21" s="67" t="str">
        <f>IF(AND('Mapa final'!$Y$43="Alta",'Mapa final'!$AA$43="Menor"),CONCATENATE("R6C",'Mapa final'!$O$43),"")</f>
        <v/>
      </c>
      <c r="T21" s="67" t="str">
        <f>IF(AND('Mapa final'!$Y$44="Alta",'Mapa final'!$AA$44="Menor"),CONCATENATE("R6C",'Mapa final'!$O$44),"")</f>
        <v/>
      </c>
      <c r="U21" s="68" t="str">
        <f>IF(AND('Mapa final'!$Y$45="Alta",'Mapa final'!$AA$45="Menor"),CONCATENATE("R6C",'Mapa final'!$O$45),"")</f>
        <v/>
      </c>
      <c r="V21" s="51" t="str">
        <f>IF(AND('Mapa final'!$Y$40="Alta",'Mapa final'!$AA$40="Moderado"),CONCATENATE("R6C",'Mapa final'!$O$40),"")</f>
        <v/>
      </c>
      <c r="W21" s="52" t="str">
        <f>IF(AND('Mapa final'!$Y$41="Alta",'Mapa final'!$AA$41="Moderado"),CONCATENATE("R6C",'Mapa final'!$O$41),"")</f>
        <v/>
      </c>
      <c r="X21" s="52" t="str">
        <f>IF(AND('Mapa final'!$Y$42="Alta",'Mapa final'!$AA$42="Moderado"),CONCATENATE("R6C",'Mapa final'!$O$42),"")</f>
        <v/>
      </c>
      <c r="Y21" s="52" t="str">
        <f>IF(AND('Mapa final'!$Y$43="Alta",'Mapa final'!$AA$43="Moderado"),CONCATENATE("R6C",'Mapa final'!$O$43),"")</f>
        <v/>
      </c>
      <c r="Z21" s="52" t="str">
        <f>IF(AND('Mapa final'!$Y$44="Alta",'Mapa final'!$AA$44="Moderado"),CONCATENATE("R6C",'Mapa final'!$O$44),"")</f>
        <v/>
      </c>
      <c r="AA21" s="53" t="str">
        <f>IF(AND('Mapa final'!$Y$45="Alta",'Mapa final'!$AA$45="Moderado"),CONCATENATE("R6C",'Mapa final'!$O$45),"")</f>
        <v/>
      </c>
      <c r="AB21" s="51" t="str">
        <f>IF(AND('Mapa final'!$Y$40="Alta",'Mapa final'!$AA$40="Mayor"),CONCATENATE("R6C",'Mapa final'!$O$40),"")</f>
        <v/>
      </c>
      <c r="AC21" s="52" t="str">
        <f>IF(AND('Mapa final'!$Y$41="Alta",'Mapa final'!$AA$41="Mayor"),CONCATENATE("R6C",'Mapa final'!$O$41),"")</f>
        <v/>
      </c>
      <c r="AD21" s="52" t="str">
        <f>IF(AND('Mapa final'!$Y$42="Alta",'Mapa final'!$AA$42="Mayor"),CONCATENATE("R6C",'Mapa final'!$O$42),"")</f>
        <v/>
      </c>
      <c r="AE21" s="52" t="str">
        <f>IF(AND('Mapa final'!$Y$43="Alta",'Mapa final'!$AA$43="Mayor"),CONCATENATE("R6C",'Mapa final'!$O$43),"")</f>
        <v/>
      </c>
      <c r="AF21" s="52" t="str">
        <f>IF(AND('Mapa final'!$Y$44="Alta",'Mapa final'!$AA$44="Mayor"),CONCATENATE("R6C",'Mapa final'!$O$44),"")</f>
        <v/>
      </c>
      <c r="AG21" s="53" t="str">
        <f>IF(AND('Mapa final'!$Y$45="Alta",'Mapa final'!$AA$45="Mayor"),CONCATENATE("R6C",'Mapa final'!$O$45),"")</f>
        <v/>
      </c>
      <c r="AH21" s="54" t="str">
        <f>IF(AND('Mapa final'!$Y$40="Alta",'Mapa final'!$AA$40="Catastrófico"),CONCATENATE("R6C",'Mapa final'!$O$40),"")</f>
        <v/>
      </c>
      <c r="AI21" s="55" t="str">
        <f>IF(AND('Mapa final'!$Y$41="Alta",'Mapa final'!$AA$41="Catastrófico"),CONCATENATE("R6C",'Mapa final'!$O$41),"")</f>
        <v/>
      </c>
      <c r="AJ21" s="55" t="str">
        <f>IF(AND('Mapa final'!$Y$42="Alta",'Mapa final'!$AA$42="Catastrófico"),CONCATENATE("R6C",'Mapa final'!$O$42),"")</f>
        <v/>
      </c>
      <c r="AK21" s="55" t="str">
        <f>IF(AND('Mapa final'!$Y$43="Alta",'Mapa final'!$AA$43="Catastrófico"),CONCATENATE("R6C",'Mapa final'!$O$43),"")</f>
        <v/>
      </c>
      <c r="AL21" s="55" t="str">
        <f>IF(AND('Mapa final'!$Y$44="Alta",'Mapa final'!$AA$44="Catastrófico"),CONCATENATE("R6C",'Mapa final'!$O$44),"")</f>
        <v/>
      </c>
      <c r="AM21" s="56" t="str">
        <f>IF(AND('Mapa final'!$Y$45="Alta",'Mapa final'!$AA$45="Catastrófico"),CONCATENATE("R6C",'Mapa final'!$O$45),"")</f>
        <v/>
      </c>
      <c r="AN21" s="82"/>
      <c r="AO21" s="371"/>
      <c r="AP21" s="372"/>
      <c r="AQ21" s="372"/>
      <c r="AR21" s="372"/>
      <c r="AS21" s="372"/>
      <c r="AT21" s="373"/>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282"/>
      <c r="C22" s="282"/>
      <c r="D22" s="283"/>
      <c r="E22" s="381"/>
      <c r="F22" s="380"/>
      <c r="G22" s="380"/>
      <c r="H22" s="380"/>
      <c r="I22" s="380"/>
      <c r="J22" s="66" t="str">
        <f>IF(AND('Mapa final'!$Y$46="Alta",'Mapa final'!$AA$46="Leve"),CONCATENATE("R7C",'Mapa final'!$O$46),"")</f>
        <v/>
      </c>
      <c r="K22" s="67" t="str">
        <f>IF(AND('Mapa final'!$Y$47="Alta",'Mapa final'!$AA$47="Leve"),CONCATENATE("R7C",'Mapa final'!$O$47),"")</f>
        <v/>
      </c>
      <c r="L22" s="67" t="str">
        <f>IF(AND('Mapa final'!$Y$48="Alta",'Mapa final'!$AA$48="Leve"),CONCATENATE("R7C",'Mapa final'!$O$48),"")</f>
        <v/>
      </c>
      <c r="M22" s="67" t="str">
        <f>IF(AND('Mapa final'!$Y$49="Alta",'Mapa final'!$AA$49="Leve"),CONCATENATE("R7C",'Mapa final'!$O$49),"")</f>
        <v/>
      </c>
      <c r="N22" s="67" t="str">
        <f>IF(AND('Mapa final'!$Y$50="Alta",'Mapa final'!$AA$50="Leve"),CONCATENATE("R7C",'Mapa final'!$O$50),"")</f>
        <v/>
      </c>
      <c r="O22" s="68" t="str">
        <f>IF(AND('Mapa final'!$Y$51="Alta",'Mapa final'!$AA$51="Leve"),CONCATENATE("R7C",'Mapa final'!$O$51),"")</f>
        <v/>
      </c>
      <c r="P22" s="66" t="str">
        <f>IF(AND('Mapa final'!$Y$46="Alta",'Mapa final'!$AA$46="Menor"),CONCATENATE("R7C",'Mapa final'!$O$46),"")</f>
        <v/>
      </c>
      <c r="Q22" s="67" t="str">
        <f>IF(AND('Mapa final'!$Y$47="Alta",'Mapa final'!$AA$47="Menor"),CONCATENATE("R7C",'Mapa final'!$O$47),"")</f>
        <v/>
      </c>
      <c r="R22" s="67" t="str">
        <f>IF(AND('Mapa final'!$Y$48="Alta",'Mapa final'!$AA$48="Menor"),CONCATENATE("R7C",'Mapa final'!$O$48),"")</f>
        <v/>
      </c>
      <c r="S22" s="67" t="str">
        <f>IF(AND('Mapa final'!$Y$49="Alta",'Mapa final'!$AA$49="Menor"),CONCATENATE("R7C",'Mapa final'!$O$49),"")</f>
        <v/>
      </c>
      <c r="T22" s="67" t="str">
        <f>IF(AND('Mapa final'!$Y$50="Alta",'Mapa final'!$AA$50="Menor"),CONCATENATE("R7C",'Mapa final'!$O$50),"")</f>
        <v/>
      </c>
      <c r="U22" s="68" t="str">
        <f>IF(AND('Mapa final'!$Y$51="Alta",'Mapa final'!$AA$51="Menor"),CONCATENATE("R7C",'Mapa final'!$O$51),"")</f>
        <v/>
      </c>
      <c r="V22" s="51" t="str">
        <f>IF(AND('Mapa final'!$Y$46="Alta",'Mapa final'!$AA$46="Moderado"),CONCATENATE("R7C",'Mapa final'!$O$46),"")</f>
        <v/>
      </c>
      <c r="W22" s="52" t="str">
        <f>IF(AND('Mapa final'!$Y$47="Alta",'Mapa final'!$AA$47="Moderado"),CONCATENATE("R7C",'Mapa final'!$O$47),"")</f>
        <v/>
      </c>
      <c r="X22" s="52" t="str">
        <f>IF(AND('Mapa final'!$Y$48="Alta",'Mapa final'!$AA$48="Moderado"),CONCATENATE("R7C",'Mapa final'!$O$48),"")</f>
        <v/>
      </c>
      <c r="Y22" s="52" t="str">
        <f>IF(AND('Mapa final'!$Y$49="Alta",'Mapa final'!$AA$49="Moderado"),CONCATENATE("R7C",'Mapa final'!$O$49),"")</f>
        <v/>
      </c>
      <c r="Z22" s="52" t="str">
        <f>IF(AND('Mapa final'!$Y$50="Alta",'Mapa final'!$AA$50="Moderado"),CONCATENATE("R7C",'Mapa final'!$O$50),"")</f>
        <v/>
      </c>
      <c r="AA22" s="53" t="str">
        <f>IF(AND('Mapa final'!$Y$51="Alta",'Mapa final'!$AA$51="Moderado"),CONCATENATE("R7C",'Mapa final'!$O$51),"")</f>
        <v/>
      </c>
      <c r="AB22" s="51" t="str">
        <f>IF(AND('Mapa final'!$Y$46="Alta",'Mapa final'!$AA$46="Mayor"),CONCATENATE("R7C",'Mapa final'!$O$46),"")</f>
        <v/>
      </c>
      <c r="AC22" s="52" t="str">
        <f>IF(AND('Mapa final'!$Y$47="Alta",'Mapa final'!$AA$47="Mayor"),CONCATENATE("R7C",'Mapa final'!$O$47),"")</f>
        <v/>
      </c>
      <c r="AD22" s="52" t="str">
        <f>IF(AND('Mapa final'!$Y$48="Alta",'Mapa final'!$AA$48="Mayor"),CONCATENATE("R7C",'Mapa final'!$O$48),"")</f>
        <v/>
      </c>
      <c r="AE22" s="52" t="str">
        <f>IF(AND('Mapa final'!$Y$49="Alta",'Mapa final'!$AA$49="Mayor"),CONCATENATE("R7C",'Mapa final'!$O$49),"")</f>
        <v/>
      </c>
      <c r="AF22" s="52" t="str">
        <f>IF(AND('Mapa final'!$Y$50="Alta",'Mapa final'!$AA$50="Mayor"),CONCATENATE("R7C",'Mapa final'!$O$50),"")</f>
        <v/>
      </c>
      <c r="AG22" s="53" t="str">
        <f>IF(AND('Mapa final'!$Y$51="Alta",'Mapa final'!$AA$51="Mayor"),CONCATENATE("R7C",'Mapa final'!$O$51),"")</f>
        <v/>
      </c>
      <c r="AH22" s="54" t="str">
        <f>IF(AND('Mapa final'!$Y$46="Alta",'Mapa final'!$AA$46="Catastrófico"),CONCATENATE("R7C",'Mapa final'!$O$46),"")</f>
        <v/>
      </c>
      <c r="AI22" s="55" t="str">
        <f>IF(AND('Mapa final'!$Y$47="Alta",'Mapa final'!$AA$47="Catastrófico"),CONCATENATE("R7C",'Mapa final'!$O$47),"")</f>
        <v/>
      </c>
      <c r="AJ22" s="55" t="str">
        <f>IF(AND('Mapa final'!$Y$48="Alta",'Mapa final'!$AA$48="Catastrófico"),CONCATENATE("R7C",'Mapa final'!$O$48),"")</f>
        <v/>
      </c>
      <c r="AK22" s="55" t="str">
        <f>IF(AND('Mapa final'!$Y$49="Alta",'Mapa final'!$AA$49="Catastrófico"),CONCATENATE("R7C",'Mapa final'!$O$49),"")</f>
        <v/>
      </c>
      <c r="AL22" s="55" t="str">
        <f>IF(AND('Mapa final'!$Y$50="Alta",'Mapa final'!$AA$50="Catastrófico"),CONCATENATE("R7C",'Mapa final'!$O$50),"")</f>
        <v/>
      </c>
      <c r="AM22" s="56" t="str">
        <f>IF(AND('Mapa final'!$Y$51="Alta",'Mapa final'!$AA$51="Catastrófico"),CONCATENATE("R7C",'Mapa final'!$O$51),"")</f>
        <v/>
      </c>
      <c r="AN22" s="82"/>
      <c r="AO22" s="371"/>
      <c r="AP22" s="372"/>
      <c r="AQ22" s="372"/>
      <c r="AR22" s="372"/>
      <c r="AS22" s="372"/>
      <c r="AT22" s="373"/>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282"/>
      <c r="C23" s="282"/>
      <c r="D23" s="283"/>
      <c r="E23" s="381"/>
      <c r="F23" s="380"/>
      <c r="G23" s="380"/>
      <c r="H23" s="380"/>
      <c r="I23" s="380"/>
      <c r="J23" s="66" t="str">
        <f>IF(AND('Mapa final'!$Y$52="Alta",'Mapa final'!$AA$52="Leve"),CONCATENATE("R8C",'Mapa final'!$O$52),"")</f>
        <v/>
      </c>
      <c r="K23" s="67" t="str">
        <f>IF(AND('Mapa final'!$Y$53="Alta",'Mapa final'!$AA$53="Leve"),CONCATENATE("R8C",'Mapa final'!$O$53),"")</f>
        <v/>
      </c>
      <c r="L23" s="67" t="str">
        <f>IF(AND('Mapa final'!$Y$54="Alta",'Mapa final'!$AA$54="Leve"),CONCATENATE("R8C",'Mapa final'!$O$54),"")</f>
        <v/>
      </c>
      <c r="M23" s="67" t="str">
        <f>IF(AND('Mapa final'!$Y$55="Alta",'Mapa final'!$AA$55="Leve"),CONCATENATE("R8C",'Mapa final'!$O$55),"")</f>
        <v/>
      </c>
      <c r="N23" s="67" t="str">
        <f>IF(AND('Mapa final'!$Y$56="Alta",'Mapa final'!$AA$56="Leve"),CONCATENATE("R8C",'Mapa final'!$O$56),"")</f>
        <v/>
      </c>
      <c r="O23" s="68" t="str">
        <f>IF(AND('Mapa final'!$Y$57="Alta",'Mapa final'!$AA$57="Leve"),CONCATENATE("R8C",'Mapa final'!$O$57),"")</f>
        <v/>
      </c>
      <c r="P23" s="66" t="str">
        <f>IF(AND('Mapa final'!$Y$52="Alta",'Mapa final'!$AA$52="Menor"),CONCATENATE("R8C",'Mapa final'!$O$52),"")</f>
        <v/>
      </c>
      <c r="Q23" s="67" t="str">
        <f>IF(AND('Mapa final'!$Y$53="Alta",'Mapa final'!$AA$53="Menor"),CONCATENATE("R8C",'Mapa final'!$O$53),"")</f>
        <v/>
      </c>
      <c r="R23" s="67" t="str">
        <f>IF(AND('Mapa final'!$Y$54="Alta",'Mapa final'!$AA$54="Menor"),CONCATENATE("R8C",'Mapa final'!$O$54),"")</f>
        <v/>
      </c>
      <c r="S23" s="67" t="str">
        <f>IF(AND('Mapa final'!$Y$55="Alta",'Mapa final'!$AA$55="Menor"),CONCATENATE("R8C",'Mapa final'!$O$55),"")</f>
        <v/>
      </c>
      <c r="T23" s="67" t="str">
        <f>IF(AND('Mapa final'!$Y$56="Alta",'Mapa final'!$AA$56="Menor"),CONCATENATE("R8C",'Mapa final'!$O$56),"")</f>
        <v/>
      </c>
      <c r="U23" s="68" t="str">
        <f>IF(AND('Mapa final'!$Y$57="Alta",'Mapa final'!$AA$57="Menor"),CONCATENATE("R8C",'Mapa final'!$O$57),"")</f>
        <v/>
      </c>
      <c r="V23" s="51" t="str">
        <f>IF(AND('Mapa final'!$Y$52="Alta",'Mapa final'!$AA$52="Moderado"),CONCATENATE("R8C",'Mapa final'!$O$52),"")</f>
        <v/>
      </c>
      <c r="W23" s="52" t="str">
        <f>IF(AND('Mapa final'!$Y$53="Alta",'Mapa final'!$AA$53="Moderado"),CONCATENATE("R8C",'Mapa final'!$O$53),"")</f>
        <v/>
      </c>
      <c r="X23" s="52" t="str">
        <f>IF(AND('Mapa final'!$Y$54="Alta",'Mapa final'!$AA$54="Moderado"),CONCATENATE("R8C",'Mapa final'!$O$54),"")</f>
        <v/>
      </c>
      <c r="Y23" s="52" t="str">
        <f>IF(AND('Mapa final'!$Y$55="Alta",'Mapa final'!$AA$55="Moderado"),CONCATENATE("R8C",'Mapa final'!$O$55),"")</f>
        <v/>
      </c>
      <c r="Z23" s="52" t="str">
        <f>IF(AND('Mapa final'!$Y$56="Alta",'Mapa final'!$AA$56="Moderado"),CONCATENATE("R8C",'Mapa final'!$O$56),"")</f>
        <v/>
      </c>
      <c r="AA23" s="53" t="str">
        <f>IF(AND('Mapa final'!$Y$57="Alta",'Mapa final'!$AA$57="Moderado"),CONCATENATE("R8C",'Mapa final'!$O$57),"")</f>
        <v/>
      </c>
      <c r="AB23" s="51" t="str">
        <f>IF(AND('Mapa final'!$Y$52="Alta",'Mapa final'!$AA$52="Mayor"),CONCATENATE("R8C",'Mapa final'!$O$52),"")</f>
        <v/>
      </c>
      <c r="AC23" s="52" t="str">
        <f>IF(AND('Mapa final'!$Y$53="Alta",'Mapa final'!$AA$53="Mayor"),CONCATENATE("R8C",'Mapa final'!$O$53),"")</f>
        <v/>
      </c>
      <c r="AD23" s="52" t="str">
        <f>IF(AND('Mapa final'!$Y$54="Alta",'Mapa final'!$AA$54="Mayor"),CONCATENATE("R8C",'Mapa final'!$O$54),"")</f>
        <v/>
      </c>
      <c r="AE23" s="52" t="str">
        <f>IF(AND('Mapa final'!$Y$55="Alta",'Mapa final'!$AA$55="Mayor"),CONCATENATE("R8C",'Mapa final'!$O$55),"")</f>
        <v/>
      </c>
      <c r="AF23" s="52" t="str">
        <f>IF(AND('Mapa final'!$Y$56="Alta",'Mapa final'!$AA$56="Mayor"),CONCATENATE("R8C",'Mapa final'!$O$56),"")</f>
        <v/>
      </c>
      <c r="AG23" s="53" t="str">
        <f>IF(AND('Mapa final'!$Y$57="Alta",'Mapa final'!$AA$57="Mayor"),CONCATENATE("R8C",'Mapa final'!$O$57),"")</f>
        <v/>
      </c>
      <c r="AH23" s="54" t="str">
        <f>IF(AND('Mapa final'!$Y$52="Alta",'Mapa final'!$AA$52="Catastrófico"),CONCATENATE("R8C",'Mapa final'!$O$52),"")</f>
        <v/>
      </c>
      <c r="AI23" s="55" t="str">
        <f>IF(AND('Mapa final'!$Y$53="Alta",'Mapa final'!$AA$53="Catastrófico"),CONCATENATE("R8C",'Mapa final'!$O$53),"")</f>
        <v/>
      </c>
      <c r="AJ23" s="55" t="str">
        <f>IF(AND('Mapa final'!$Y$54="Alta",'Mapa final'!$AA$54="Catastrófico"),CONCATENATE("R8C",'Mapa final'!$O$54),"")</f>
        <v/>
      </c>
      <c r="AK23" s="55" t="str">
        <f>IF(AND('Mapa final'!$Y$55="Alta",'Mapa final'!$AA$55="Catastrófico"),CONCATENATE("R8C",'Mapa final'!$O$55),"")</f>
        <v/>
      </c>
      <c r="AL23" s="55" t="str">
        <f>IF(AND('Mapa final'!$Y$56="Alta",'Mapa final'!$AA$56="Catastrófico"),CONCATENATE("R8C",'Mapa final'!$O$56),"")</f>
        <v/>
      </c>
      <c r="AM23" s="56" t="str">
        <f>IF(AND('Mapa final'!$Y$57="Alta",'Mapa final'!$AA$57="Catastrófico"),CONCATENATE("R8C",'Mapa final'!$O$57),"")</f>
        <v/>
      </c>
      <c r="AN23" s="82"/>
      <c r="AO23" s="371"/>
      <c r="AP23" s="372"/>
      <c r="AQ23" s="372"/>
      <c r="AR23" s="372"/>
      <c r="AS23" s="372"/>
      <c r="AT23" s="373"/>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282"/>
      <c r="C24" s="282"/>
      <c r="D24" s="283"/>
      <c r="E24" s="381"/>
      <c r="F24" s="380"/>
      <c r="G24" s="380"/>
      <c r="H24" s="380"/>
      <c r="I24" s="380"/>
      <c r="J24" s="66" t="str">
        <f>IF(AND('Mapa final'!$Y$58="Alta",'Mapa final'!$AA$58="Leve"),CONCATENATE("R9C",'Mapa final'!$O$58),"")</f>
        <v/>
      </c>
      <c r="K24" s="67" t="str">
        <f>IF(AND('Mapa final'!$Y$59="Alta",'Mapa final'!$AA$59="Leve"),CONCATENATE("R9C",'Mapa final'!$O$59),"")</f>
        <v/>
      </c>
      <c r="L24" s="67" t="str">
        <f>IF(AND('Mapa final'!$Y$60="Alta",'Mapa final'!$AA$60="Leve"),CONCATENATE("R9C",'Mapa final'!$O$60),"")</f>
        <v/>
      </c>
      <c r="M24" s="67" t="str">
        <f>IF(AND('Mapa final'!$Y$61="Alta",'Mapa final'!$AA$61="Leve"),CONCATENATE("R9C",'Mapa final'!$O$61),"")</f>
        <v/>
      </c>
      <c r="N24" s="67" t="str">
        <f>IF(AND('Mapa final'!$Y$62="Alta",'Mapa final'!$AA$62="Leve"),CONCATENATE("R9C",'Mapa final'!$O$62),"")</f>
        <v/>
      </c>
      <c r="O24" s="68" t="str">
        <f>IF(AND('Mapa final'!$Y$63="Alta",'Mapa final'!$AA$63="Leve"),CONCATENATE("R9C",'Mapa final'!$O$63),"")</f>
        <v/>
      </c>
      <c r="P24" s="66" t="str">
        <f>IF(AND('Mapa final'!$Y$58="Alta",'Mapa final'!$AA$58="Menor"),CONCATENATE("R9C",'Mapa final'!$O$58),"")</f>
        <v/>
      </c>
      <c r="Q24" s="67" t="str">
        <f>IF(AND('Mapa final'!$Y$59="Alta",'Mapa final'!$AA$59="Menor"),CONCATENATE("R9C",'Mapa final'!$O$59),"")</f>
        <v/>
      </c>
      <c r="R24" s="67" t="str">
        <f>IF(AND('Mapa final'!$Y$60="Alta",'Mapa final'!$AA$60="Menor"),CONCATENATE("R9C",'Mapa final'!$O$60),"")</f>
        <v/>
      </c>
      <c r="S24" s="67" t="str">
        <f>IF(AND('Mapa final'!$Y$61="Alta",'Mapa final'!$AA$61="Menor"),CONCATENATE("R9C",'Mapa final'!$O$61),"")</f>
        <v/>
      </c>
      <c r="T24" s="67" t="str">
        <f>IF(AND('Mapa final'!$Y$62="Alta",'Mapa final'!$AA$62="Menor"),CONCATENATE("R9C",'Mapa final'!$O$62),"")</f>
        <v/>
      </c>
      <c r="U24" s="68" t="str">
        <f>IF(AND('Mapa final'!$Y$63="Alta",'Mapa final'!$AA$63="Menor"),CONCATENATE("R9C",'Mapa final'!$O$63),"")</f>
        <v/>
      </c>
      <c r="V24" s="51" t="str">
        <f>IF(AND('Mapa final'!$Y$58="Alta",'Mapa final'!$AA$58="Moderado"),CONCATENATE("R9C",'Mapa final'!$O$58),"")</f>
        <v/>
      </c>
      <c r="W24" s="52" t="str">
        <f>IF(AND('Mapa final'!$Y$59="Alta",'Mapa final'!$AA$59="Moderado"),CONCATENATE("R9C",'Mapa final'!$O$59),"")</f>
        <v/>
      </c>
      <c r="X24" s="52" t="str">
        <f>IF(AND('Mapa final'!$Y$60="Alta",'Mapa final'!$AA$60="Moderado"),CONCATENATE("R9C",'Mapa final'!$O$60),"")</f>
        <v/>
      </c>
      <c r="Y24" s="52" t="str">
        <f>IF(AND('Mapa final'!$Y$61="Alta",'Mapa final'!$AA$61="Moderado"),CONCATENATE("R9C",'Mapa final'!$O$61),"")</f>
        <v/>
      </c>
      <c r="Z24" s="52" t="str">
        <f>IF(AND('Mapa final'!$Y$62="Alta",'Mapa final'!$AA$62="Moderado"),CONCATENATE("R9C",'Mapa final'!$O$62),"")</f>
        <v/>
      </c>
      <c r="AA24" s="53" t="str">
        <f>IF(AND('Mapa final'!$Y$63="Alta",'Mapa final'!$AA$63="Moderado"),CONCATENATE("R9C",'Mapa final'!$O$63),"")</f>
        <v/>
      </c>
      <c r="AB24" s="51" t="str">
        <f>IF(AND('Mapa final'!$Y$58="Alta",'Mapa final'!$AA$58="Mayor"),CONCATENATE("R9C",'Mapa final'!$O$58),"")</f>
        <v/>
      </c>
      <c r="AC24" s="52" t="str">
        <f>IF(AND('Mapa final'!$Y$59="Alta",'Mapa final'!$AA$59="Mayor"),CONCATENATE("R9C",'Mapa final'!$O$59),"")</f>
        <v/>
      </c>
      <c r="AD24" s="52" t="str">
        <f>IF(AND('Mapa final'!$Y$60="Alta",'Mapa final'!$AA$60="Mayor"),CONCATENATE("R9C",'Mapa final'!$O$60),"")</f>
        <v/>
      </c>
      <c r="AE24" s="52" t="str">
        <f>IF(AND('Mapa final'!$Y$61="Alta",'Mapa final'!$AA$61="Mayor"),CONCATENATE("R9C",'Mapa final'!$O$61),"")</f>
        <v/>
      </c>
      <c r="AF24" s="52" t="str">
        <f>IF(AND('Mapa final'!$Y$62="Alta",'Mapa final'!$AA$62="Mayor"),CONCATENATE("R9C",'Mapa final'!$O$62),"")</f>
        <v/>
      </c>
      <c r="AG24" s="53" t="str">
        <f>IF(AND('Mapa final'!$Y$63="Alta",'Mapa final'!$AA$63="Mayor"),CONCATENATE("R9C",'Mapa final'!$O$63),"")</f>
        <v/>
      </c>
      <c r="AH24" s="54" t="str">
        <f>IF(AND('Mapa final'!$Y$58="Alta",'Mapa final'!$AA$58="Catastrófico"),CONCATENATE("R9C",'Mapa final'!$O$58),"")</f>
        <v/>
      </c>
      <c r="AI24" s="55" t="str">
        <f>IF(AND('Mapa final'!$Y$59="Alta",'Mapa final'!$AA$59="Catastrófico"),CONCATENATE("R9C",'Mapa final'!$O$59),"")</f>
        <v/>
      </c>
      <c r="AJ24" s="55" t="str">
        <f>IF(AND('Mapa final'!$Y$60="Alta",'Mapa final'!$AA$60="Catastrófico"),CONCATENATE("R9C",'Mapa final'!$O$60),"")</f>
        <v/>
      </c>
      <c r="AK24" s="55" t="str">
        <f>IF(AND('Mapa final'!$Y$61="Alta",'Mapa final'!$AA$61="Catastrófico"),CONCATENATE("R9C",'Mapa final'!$O$61),"")</f>
        <v/>
      </c>
      <c r="AL24" s="55" t="str">
        <f>IF(AND('Mapa final'!$Y$62="Alta",'Mapa final'!$AA$62="Catastrófico"),CONCATENATE("R9C",'Mapa final'!$O$62),"")</f>
        <v/>
      </c>
      <c r="AM24" s="56" t="str">
        <f>IF(AND('Mapa final'!$Y$63="Alta",'Mapa final'!$AA$63="Catastrófico"),CONCATENATE("R9C",'Mapa final'!$O$63),"")</f>
        <v/>
      </c>
      <c r="AN24" s="82"/>
      <c r="AO24" s="371"/>
      <c r="AP24" s="372"/>
      <c r="AQ24" s="372"/>
      <c r="AR24" s="372"/>
      <c r="AS24" s="372"/>
      <c r="AT24" s="373"/>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282"/>
      <c r="C25" s="282"/>
      <c r="D25" s="283"/>
      <c r="E25" s="382"/>
      <c r="F25" s="383"/>
      <c r="G25" s="383"/>
      <c r="H25" s="383"/>
      <c r="I25" s="383"/>
      <c r="J25" s="69" t="str">
        <f>IF(AND('Mapa final'!$Y$64="Alta",'Mapa final'!$AA$64="Leve"),CONCATENATE("R10C",'Mapa final'!$O$64),"")</f>
        <v/>
      </c>
      <c r="K25" s="70" t="str">
        <f>IF(AND('Mapa final'!$Y$65="Alta",'Mapa final'!$AA$65="Leve"),CONCATENATE("R10C",'Mapa final'!$O$65),"")</f>
        <v/>
      </c>
      <c r="L25" s="70" t="str">
        <f>IF(AND('Mapa final'!$Y$66="Alta",'Mapa final'!$AA$66="Leve"),CONCATENATE("R10C",'Mapa final'!$O$66),"")</f>
        <v/>
      </c>
      <c r="M25" s="70" t="str">
        <f>IF(AND('Mapa final'!$Y$67="Alta",'Mapa final'!$AA$67="Leve"),CONCATENATE("R10C",'Mapa final'!$O$67),"")</f>
        <v/>
      </c>
      <c r="N25" s="70" t="str">
        <f>IF(AND('Mapa final'!$Y$68="Alta",'Mapa final'!$AA$68="Leve"),CONCATENATE("R10C",'Mapa final'!$O$68),"")</f>
        <v/>
      </c>
      <c r="O25" s="71" t="str">
        <f>IF(AND('Mapa final'!$Y$69="Alta",'Mapa final'!$AA$69="Leve"),CONCATENATE("R10C",'Mapa final'!$O$69),"")</f>
        <v/>
      </c>
      <c r="P25" s="69" t="str">
        <f>IF(AND('Mapa final'!$Y$64="Alta",'Mapa final'!$AA$64="Menor"),CONCATENATE("R10C",'Mapa final'!$O$64),"")</f>
        <v/>
      </c>
      <c r="Q25" s="70" t="str">
        <f>IF(AND('Mapa final'!$Y$65="Alta",'Mapa final'!$AA$65="Menor"),CONCATENATE("R10C",'Mapa final'!$O$65),"")</f>
        <v/>
      </c>
      <c r="R25" s="70" t="str">
        <f>IF(AND('Mapa final'!$Y$66="Alta",'Mapa final'!$AA$66="Menor"),CONCATENATE("R10C",'Mapa final'!$O$66),"")</f>
        <v/>
      </c>
      <c r="S25" s="70" t="str">
        <f>IF(AND('Mapa final'!$Y$67="Alta",'Mapa final'!$AA$67="Menor"),CONCATENATE("R10C",'Mapa final'!$O$67),"")</f>
        <v/>
      </c>
      <c r="T25" s="70" t="str">
        <f>IF(AND('Mapa final'!$Y$68="Alta",'Mapa final'!$AA$68="Menor"),CONCATENATE("R10C",'Mapa final'!$O$68),"")</f>
        <v/>
      </c>
      <c r="U25" s="71" t="str">
        <f>IF(AND('Mapa final'!$Y$69="Alta",'Mapa final'!$AA$69="Menor"),CONCATENATE("R10C",'Mapa final'!$O$69),"")</f>
        <v/>
      </c>
      <c r="V25" s="57" t="str">
        <f>IF(AND('Mapa final'!$Y$64="Alta",'Mapa final'!$AA$64="Moderado"),CONCATENATE("R10C",'Mapa final'!$O$64),"")</f>
        <v/>
      </c>
      <c r="W25" s="58" t="str">
        <f>IF(AND('Mapa final'!$Y$65="Alta",'Mapa final'!$AA$65="Moderado"),CONCATENATE("R10C",'Mapa final'!$O$65),"")</f>
        <v/>
      </c>
      <c r="X25" s="58" t="str">
        <f>IF(AND('Mapa final'!$Y$66="Alta",'Mapa final'!$AA$66="Moderado"),CONCATENATE("R10C",'Mapa final'!$O$66),"")</f>
        <v/>
      </c>
      <c r="Y25" s="58" t="str">
        <f>IF(AND('Mapa final'!$Y$67="Alta",'Mapa final'!$AA$67="Moderado"),CONCATENATE("R10C",'Mapa final'!$O$67),"")</f>
        <v/>
      </c>
      <c r="Z25" s="58" t="str">
        <f>IF(AND('Mapa final'!$Y$68="Alta",'Mapa final'!$AA$68="Moderado"),CONCATENATE("R10C",'Mapa final'!$O$68),"")</f>
        <v/>
      </c>
      <c r="AA25" s="59" t="str">
        <f>IF(AND('Mapa final'!$Y$69="Alta",'Mapa final'!$AA$69="Moderado"),CONCATENATE("R10C",'Mapa final'!$O$69),"")</f>
        <v/>
      </c>
      <c r="AB25" s="57" t="str">
        <f>IF(AND('Mapa final'!$Y$64="Alta",'Mapa final'!$AA$64="Mayor"),CONCATENATE("R10C",'Mapa final'!$O$64),"")</f>
        <v/>
      </c>
      <c r="AC25" s="58" t="str">
        <f>IF(AND('Mapa final'!$Y$65="Alta",'Mapa final'!$AA$65="Mayor"),CONCATENATE("R10C",'Mapa final'!$O$65),"")</f>
        <v/>
      </c>
      <c r="AD25" s="58" t="str">
        <f>IF(AND('Mapa final'!$Y$66="Alta",'Mapa final'!$AA$66="Mayor"),CONCATENATE("R10C",'Mapa final'!$O$66),"")</f>
        <v/>
      </c>
      <c r="AE25" s="58" t="str">
        <f>IF(AND('Mapa final'!$Y$67="Alta",'Mapa final'!$AA$67="Mayor"),CONCATENATE("R10C",'Mapa final'!$O$67),"")</f>
        <v/>
      </c>
      <c r="AF25" s="58" t="str">
        <f>IF(AND('Mapa final'!$Y$68="Alta",'Mapa final'!$AA$68="Mayor"),CONCATENATE("R10C",'Mapa final'!$O$68),"")</f>
        <v/>
      </c>
      <c r="AG25" s="59" t="str">
        <f>IF(AND('Mapa final'!$Y$69="Alta",'Mapa final'!$AA$69="Mayor"),CONCATENATE("R10C",'Mapa final'!$O$69),"")</f>
        <v/>
      </c>
      <c r="AH25" s="60" t="str">
        <f>IF(AND('Mapa final'!$Y$64="Alta",'Mapa final'!$AA$64="Catastrófico"),CONCATENATE("R10C",'Mapa final'!$O$64),"")</f>
        <v/>
      </c>
      <c r="AI25" s="61" t="str">
        <f>IF(AND('Mapa final'!$Y$65="Alta",'Mapa final'!$AA$65="Catastrófico"),CONCATENATE("R10C",'Mapa final'!$O$65),"")</f>
        <v/>
      </c>
      <c r="AJ25" s="61" t="str">
        <f>IF(AND('Mapa final'!$Y$66="Alta",'Mapa final'!$AA$66="Catastrófico"),CONCATENATE("R10C",'Mapa final'!$O$66),"")</f>
        <v/>
      </c>
      <c r="AK25" s="61" t="str">
        <f>IF(AND('Mapa final'!$Y$67="Alta",'Mapa final'!$AA$67="Catastrófico"),CONCATENATE("R10C",'Mapa final'!$O$67),"")</f>
        <v/>
      </c>
      <c r="AL25" s="61" t="str">
        <f>IF(AND('Mapa final'!$Y$68="Alta",'Mapa final'!$AA$68="Catastrófico"),CONCATENATE("R10C",'Mapa final'!$O$68),"")</f>
        <v/>
      </c>
      <c r="AM25" s="62" t="str">
        <f>IF(AND('Mapa final'!$Y$69="Alta",'Mapa final'!$AA$69="Catastrófico"),CONCATENATE("R10C",'Mapa final'!$O$69),"")</f>
        <v/>
      </c>
      <c r="AN25" s="82"/>
      <c r="AO25" s="374"/>
      <c r="AP25" s="375"/>
      <c r="AQ25" s="375"/>
      <c r="AR25" s="375"/>
      <c r="AS25" s="375"/>
      <c r="AT25" s="376"/>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282"/>
      <c r="C26" s="282"/>
      <c r="D26" s="283"/>
      <c r="E26" s="377" t="s">
        <v>116</v>
      </c>
      <c r="F26" s="378"/>
      <c r="G26" s="378"/>
      <c r="H26" s="378"/>
      <c r="I26" s="395"/>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407" t="s">
        <v>80</v>
      </c>
      <c r="AP26" s="408"/>
      <c r="AQ26" s="408"/>
      <c r="AR26" s="408"/>
      <c r="AS26" s="408"/>
      <c r="AT26" s="409"/>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282"/>
      <c r="C27" s="282"/>
      <c r="D27" s="283"/>
      <c r="E27" s="379"/>
      <c r="F27" s="380"/>
      <c r="G27" s="380"/>
      <c r="H27" s="380"/>
      <c r="I27" s="396"/>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410"/>
      <c r="AP27" s="411"/>
      <c r="AQ27" s="411"/>
      <c r="AR27" s="411"/>
      <c r="AS27" s="411"/>
      <c r="AT27" s="41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282"/>
      <c r="C28" s="282"/>
      <c r="D28" s="283"/>
      <c r="E28" s="381"/>
      <c r="F28" s="380"/>
      <c r="G28" s="380"/>
      <c r="H28" s="380"/>
      <c r="I28" s="396"/>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410"/>
      <c r="AP28" s="411"/>
      <c r="AQ28" s="411"/>
      <c r="AR28" s="411"/>
      <c r="AS28" s="411"/>
      <c r="AT28" s="41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282"/>
      <c r="C29" s="282"/>
      <c r="D29" s="283"/>
      <c r="E29" s="381"/>
      <c r="F29" s="380"/>
      <c r="G29" s="380"/>
      <c r="H29" s="380"/>
      <c r="I29" s="396"/>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410"/>
      <c r="AP29" s="411"/>
      <c r="AQ29" s="411"/>
      <c r="AR29" s="411"/>
      <c r="AS29" s="411"/>
      <c r="AT29" s="41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282"/>
      <c r="C30" s="282"/>
      <c r="D30" s="283"/>
      <c r="E30" s="381"/>
      <c r="F30" s="380"/>
      <c r="G30" s="380"/>
      <c r="H30" s="380"/>
      <c r="I30" s="396"/>
      <c r="J30" s="66" t="str">
        <f>IF(AND('Mapa final'!$Y$34="Media",'Mapa final'!$AA$34="Leve"),CONCATENATE("R5C",'Mapa final'!$O$34),"")</f>
        <v/>
      </c>
      <c r="K30" s="67" t="str">
        <f>IF(AND('Mapa final'!$Y$35="Media",'Mapa final'!$AA$35="Leve"),CONCATENATE("R5C",'Mapa final'!$O$35),"")</f>
        <v/>
      </c>
      <c r="L30" s="67" t="str">
        <f>IF(AND('Mapa final'!$Y$36="Media",'Mapa final'!$AA$36="Leve"),CONCATENATE("R5C",'Mapa final'!$O$36),"")</f>
        <v/>
      </c>
      <c r="M30" s="67" t="str">
        <f>IF(AND('Mapa final'!$Y$37="Media",'Mapa final'!$AA$37="Leve"),CONCATENATE("R5C",'Mapa final'!$O$37),"")</f>
        <v/>
      </c>
      <c r="N30" s="67" t="str">
        <f>IF(AND('Mapa final'!$Y$38="Media",'Mapa final'!$AA$38="Leve"),CONCATENATE("R5C",'Mapa final'!$O$38),"")</f>
        <v/>
      </c>
      <c r="O30" s="68" t="str">
        <f>IF(AND('Mapa final'!$Y$39="Media",'Mapa final'!$AA$39="Leve"),CONCATENATE("R5C",'Mapa final'!$O$39),"")</f>
        <v/>
      </c>
      <c r="P30" s="66" t="str">
        <f>IF(AND('Mapa final'!$Y$34="Media",'Mapa final'!$AA$34="Menor"),CONCATENATE("R5C",'Mapa final'!$O$34),"")</f>
        <v/>
      </c>
      <c r="Q30" s="67" t="str">
        <f>IF(AND('Mapa final'!$Y$35="Media",'Mapa final'!$AA$35="Menor"),CONCATENATE("R5C",'Mapa final'!$O$35),"")</f>
        <v/>
      </c>
      <c r="R30" s="67" t="str">
        <f>IF(AND('Mapa final'!$Y$36="Media",'Mapa final'!$AA$36="Menor"),CONCATENATE("R5C",'Mapa final'!$O$36),"")</f>
        <v/>
      </c>
      <c r="S30" s="67" t="str">
        <f>IF(AND('Mapa final'!$Y$37="Media",'Mapa final'!$AA$37="Menor"),CONCATENATE("R5C",'Mapa final'!$O$37),"")</f>
        <v/>
      </c>
      <c r="T30" s="67" t="str">
        <f>IF(AND('Mapa final'!$Y$38="Media",'Mapa final'!$AA$38="Menor"),CONCATENATE("R5C",'Mapa final'!$O$38),"")</f>
        <v/>
      </c>
      <c r="U30" s="68" t="str">
        <f>IF(AND('Mapa final'!$Y$39="Media",'Mapa final'!$AA$39="Menor"),CONCATENATE("R5C",'Mapa final'!$O$39),"")</f>
        <v/>
      </c>
      <c r="V30" s="66" t="str">
        <f>IF(AND('Mapa final'!$Y$34="Media",'Mapa final'!$AA$34="Moderado"),CONCATENATE("R5C",'Mapa final'!$O$34),"")</f>
        <v/>
      </c>
      <c r="W30" s="67" t="str">
        <f>IF(AND('Mapa final'!$Y$35="Media",'Mapa final'!$AA$35="Moderado"),CONCATENATE("R5C",'Mapa final'!$O$35),"")</f>
        <v/>
      </c>
      <c r="X30" s="67" t="str">
        <f>IF(AND('Mapa final'!$Y$36="Media",'Mapa final'!$AA$36="Moderado"),CONCATENATE("R5C",'Mapa final'!$O$36),"")</f>
        <v/>
      </c>
      <c r="Y30" s="67" t="str">
        <f>IF(AND('Mapa final'!$Y$37="Media",'Mapa final'!$AA$37="Moderado"),CONCATENATE("R5C",'Mapa final'!$O$37),"")</f>
        <v/>
      </c>
      <c r="Z30" s="67" t="str">
        <f>IF(AND('Mapa final'!$Y$38="Media",'Mapa final'!$AA$38="Moderado"),CONCATENATE("R5C",'Mapa final'!$O$38),"")</f>
        <v/>
      </c>
      <c r="AA30" s="68" t="str">
        <f>IF(AND('Mapa final'!$Y$39="Media",'Mapa final'!$AA$39="Moderado"),CONCATENATE("R5C",'Mapa final'!$O$39),"")</f>
        <v/>
      </c>
      <c r="AB30" s="51" t="str">
        <f>IF(AND('Mapa final'!$Y$34="Media",'Mapa final'!$AA$34="Mayor"),CONCATENATE("R5C",'Mapa final'!$O$34),"")</f>
        <v/>
      </c>
      <c r="AC30" s="52" t="str">
        <f>IF(AND('Mapa final'!$Y$35="Media",'Mapa final'!$AA$35="Mayor"),CONCATENATE("R5C",'Mapa final'!$O$35),"")</f>
        <v/>
      </c>
      <c r="AD30" s="52" t="str">
        <f>IF(AND('Mapa final'!$Y$36="Media",'Mapa final'!$AA$36="Mayor"),CONCATENATE("R5C",'Mapa final'!$O$36),"")</f>
        <v/>
      </c>
      <c r="AE30" s="52" t="str">
        <f>IF(AND('Mapa final'!$Y$37="Media",'Mapa final'!$AA$37="Mayor"),CONCATENATE("R5C",'Mapa final'!$O$37),"")</f>
        <v/>
      </c>
      <c r="AF30" s="52" t="str">
        <f>IF(AND('Mapa final'!$Y$38="Media",'Mapa final'!$AA$38="Mayor"),CONCATENATE("R5C",'Mapa final'!$O$38),"")</f>
        <v/>
      </c>
      <c r="AG30" s="53" t="str">
        <f>IF(AND('Mapa final'!$Y$39="Media",'Mapa final'!$AA$39="Mayor"),CONCATENATE("R5C",'Mapa final'!$O$39),"")</f>
        <v/>
      </c>
      <c r="AH30" s="54" t="str">
        <f>IF(AND('Mapa final'!$Y$34="Media",'Mapa final'!$AA$34="Catastrófico"),CONCATENATE("R5C",'Mapa final'!$O$34),"")</f>
        <v/>
      </c>
      <c r="AI30" s="55" t="str">
        <f>IF(AND('Mapa final'!$Y$35="Media",'Mapa final'!$AA$35="Catastrófico"),CONCATENATE("R5C",'Mapa final'!$O$35),"")</f>
        <v/>
      </c>
      <c r="AJ30" s="55" t="str">
        <f>IF(AND('Mapa final'!$Y$36="Media",'Mapa final'!$AA$36="Catastrófico"),CONCATENATE("R5C",'Mapa final'!$O$36),"")</f>
        <v/>
      </c>
      <c r="AK30" s="55" t="str">
        <f>IF(AND('Mapa final'!$Y$37="Media",'Mapa final'!$AA$37="Catastrófico"),CONCATENATE("R5C",'Mapa final'!$O$37),"")</f>
        <v/>
      </c>
      <c r="AL30" s="55" t="str">
        <f>IF(AND('Mapa final'!$Y$38="Media",'Mapa final'!$AA$38="Catastrófico"),CONCATENATE("R5C",'Mapa final'!$O$38),"")</f>
        <v/>
      </c>
      <c r="AM30" s="56" t="str">
        <f>IF(AND('Mapa final'!$Y$39="Media",'Mapa final'!$AA$39="Catastrófico"),CONCATENATE("R5C",'Mapa final'!$O$39),"")</f>
        <v/>
      </c>
      <c r="AN30" s="82"/>
      <c r="AO30" s="410"/>
      <c r="AP30" s="411"/>
      <c r="AQ30" s="411"/>
      <c r="AR30" s="411"/>
      <c r="AS30" s="411"/>
      <c r="AT30" s="41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282"/>
      <c r="C31" s="282"/>
      <c r="D31" s="283"/>
      <c r="E31" s="381"/>
      <c r="F31" s="380"/>
      <c r="G31" s="380"/>
      <c r="H31" s="380"/>
      <c r="I31" s="396"/>
      <c r="J31" s="66" t="str">
        <f>IF(AND('Mapa final'!$Y$40="Media",'Mapa final'!$AA$40="Leve"),CONCATENATE("R6C",'Mapa final'!$O$40),"")</f>
        <v/>
      </c>
      <c r="K31" s="67" t="str">
        <f>IF(AND('Mapa final'!$Y$41="Media",'Mapa final'!$AA$41="Leve"),CONCATENATE("R6C",'Mapa final'!$O$41),"")</f>
        <v/>
      </c>
      <c r="L31" s="67" t="str">
        <f>IF(AND('Mapa final'!$Y$42="Media",'Mapa final'!$AA$42="Leve"),CONCATENATE("R6C",'Mapa final'!$O$42),"")</f>
        <v/>
      </c>
      <c r="M31" s="67" t="str">
        <f>IF(AND('Mapa final'!$Y$43="Media",'Mapa final'!$AA$43="Leve"),CONCATENATE("R6C",'Mapa final'!$O$43),"")</f>
        <v/>
      </c>
      <c r="N31" s="67" t="str">
        <f>IF(AND('Mapa final'!$Y$44="Media",'Mapa final'!$AA$44="Leve"),CONCATENATE("R6C",'Mapa final'!$O$44),"")</f>
        <v/>
      </c>
      <c r="O31" s="68" t="str">
        <f>IF(AND('Mapa final'!$Y$45="Media",'Mapa final'!$AA$45="Leve"),CONCATENATE("R6C",'Mapa final'!$O$45),"")</f>
        <v/>
      </c>
      <c r="P31" s="66" t="str">
        <f>IF(AND('Mapa final'!$Y$40="Media",'Mapa final'!$AA$40="Menor"),CONCATENATE("R6C",'Mapa final'!$O$40),"")</f>
        <v/>
      </c>
      <c r="Q31" s="67" t="str">
        <f>IF(AND('Mapa final'!$Y$41="Media",'Mapa final'!$AA$41="Menor"),CONCATENATE("R6C",'Mapa final'!$O$41),"")</f>
        <v/>
      </c>
      <c r="R31" s="67" t="str">
        <f>IF(AND('Mapa final'!$Y$42="Media",'Mapa final'!$AA$42="Menor"),CONCATENATE("R6C",'Mapa final'!$O$42),"")</f>
        <v/>
      </c>
      <c r="S31" s="67" t="str">
        <f>IF(AND('Mapa final'!$Y$43="Media",'Mapa final'!$AA$43="Menor"),CONCATENATE("R6C",'Mapa final'!$O$43),"")</f>
        <v/>
      </c>
      <c r="T31" s="67" t="str">
        <f>IF(AND('Mapa final'!$Y$44="Media",'Mapa final'!$AA$44="Menor"),CONCATENATE("R6C",'Mapa final'!$O$44),"")</f>
        <v/>
      </c>
      <c r="U31" s="68" t="str">
        <f>IF(AND('Mapa final'!$Y$45="Media",'Mapa final'!$AA$45="Menor"),CONCATENATE("R6C",'Mapa final'!$O$45),"")</f>
        <v/>
      </c>
      <c r="V31" s="66" t="str">
        <f>IF(AND('Mapa final'!$Y$40="Media",'Mapa final'!$AA$40="Moderado"),CONCATENATE("R6C",'Mapa final'!$O$40),"")</f>
        <v/>
      </c>
      <c r="W31" s="67" t="str">
        <f>IF(AND('Mapa final'!$Y$41="Media",'Mapa final'!$AA$41="Moderado"),CONCATENATE("R6C",'Mapa final'!$O$41),"")</f>
        <v/>
      </c>
      <c r="X31" s="67" t="str">
        <f>IF(AND('Mapa final'!$Y$42="Media",'Mapa final'!$AA$42="Moderado"),CONCATENATE("R6C",'Mapa final'!$O$42),"")</f>
        <v/>
      </c>
      <c r="Y31" s="67" t="str">
        <f>IF(AND('Mapa final'!$Y$43="Media",'Mapa final'!$AA$43="Moderado"),CONCATENATE("R6C",'Mapa final'!$O$43),"")</f>
        <v/>
      </c>
      <c r="Z31" s="67" t="str">
        <f>IF(AND('Mapa final'!$Y$44="Media",'Mapa final'!$AA$44="Moderado"),CONCATENATE("R6C",'Mapa final'!$O$44),"")</f>
        <v/>
      </c>
      <c r="AA31" s="68" t="str">
        <f>IF(AND('Mapa final'!$Y$45="Media",'Mapa final'!$AA$45="Moderado"),CONCATENATE("R6C",'Mapa final'!$O$45),"")</f>
        <v/>
      </c>
      <c r="AB31" s="51" t="str">
        <f>IF(AND('Mapa final'!$Y$40="Media",'Mapa final'!$AA$40="Mayor"),CONCATENATE("R6C",'Mapa final'!$O$40),"")</f>
        <v/>
      </c>
      <c r="AC31" s="52" t="str">
        <f>IF(AND('Mapa final'!$Y$41="Media",'Mapa final'!$AA$41="Mayor"),CONCATENATE("R6C",'Mapa final'!$O$41),"")</f>
        <v/>
      </c>
      <c r="AD31" s="52" t="str">
        <f>IF(AND('Mapa final'!$Y$42="Media",'Mapa final'!$AA$42="Mayor"),CONCATENATE("R6C",'Mapa final'!$O$42),"")</f>
        <v/>
      </c>
      <c r="AE31" s="52" t="str">
        <f>IF(AND('Mapa final'!$Y$43="Media",'Mapa final'!$AA$43="Mayor"),CONCATENATE("R6C",'Mapa final'!$O$43),"")</f>
        <v/>
      </c>
      <c r="AF31" s="52" t="str">
        <f>IF(AND('Mapa final'!$Y$44="Media",'Mapa final'!$AA$44="Mayor"),CONCATENATE("R6C",'Mapa final'!$O$44),"")</f>
        <v/>
      </c>
      <c r="AG31" s="53" t="str">
        <f>IF(AND('Mapa final'!$Y$45="Media",'Mapa final'!$AA$45="Mayor"),CONCATENATE("R6C",'Mapa final'!$O$45),"")</f>
        <v/>
      </c>
      <c r="AH31" s="54" t="str">
        <f>IF(AND('Mapa final'!$Y$40="Media",'Mapa final'!$AA$40="Catastrófico"),CONCATENATE("R6C",'Mapa final'!$O$40),"")</f>
        <v/>
      </c>
      <c r="AI31" s="55" t="str">
        <f>IF(AND('Mapa final'!$Y$41="Media",'Mapa final'!$AA$41="Catastrófico"),CONCATENATE("R6C",'Mapa final'!$O$41),"")</f>
        <v/>
      </c>
      <c r="AJ31" s="55" t="str">
        <f>IF(AND('Mapa final'!$Y$42="Media",'Mapa final'!$AA$42="Catastrófico"),CONCATENATE("R6C",'Mapa final'!$O$42),"")</f>
        <v/>
      </c>
      <c r="AK31" s="55" t="str">
        <f>IF(AND('Mapa final'!$Y$43="Media",'Mapa final'!$AA$43="Catastrófico"),CONCATENATE("R6C",'Mapa final'!$O$43),"")</f>
        <v/>
      </c>
      <c r="AL31" s="55" t="str">
        <f>IF(AND('Mapa final'!$Y$44="Media",'Mapa final'!$AA$44="Catastrófico"),CONCATENATE("R6C",'Mapa final'!$O$44),"")</f>
        <v/>
      </c>
      <c r="AM31" s="56" t="str">
        <f>IF(AND('Mapa final'!$Y$45="Media",'Mapa final'!$AA$45="Catastrófico"),CONCATENATE("R6C",'Mapa final'!$O$45),"")</f>
        <v/>
      </c>
      <c r="AN31" s="82"/>
      <c r="AO31" s="410"/>
      <c r="AP31" s="411"/>
      <c r="AQ31" s="411"/>
      <c r="AR31" s="411"/>
      <c r="AS31" s="411"/>
      <c r="AT31" s="41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282"/>
      <c r="C32" s="282"/>
      <c r="D32" s="283"/>
      <c r="E32" s="381"/>
      <c r="F32" s="380"/>
      <c r="G32" s="380"/>
      <c r="H32" s="380"/>
      <c r="I32" s="396"/>
      <c r="J32" s="66" t="str">
        <f>IF(AND('Mapa final'!$Y$46="Media",'Mapa final'!$AA$46="Leve"),CONCATENATE("R7C",'Mapa final'!$O$46),"")</f>
        <v/>
      </c>
      <c r="K32" s="67" t="str">
        <f>IF(AND('Mapa final'!$Y$47="Media",'Mapa final'!$AA$47="Leve"),CONCATENATE("R7C",'Mapa final'!$O$47),"")</f>
        <v/>
      </c>
      <c r="L32" s="67" t="str">
        <f>IF(AND('Mapa final'!$Y$48="Media",'Mapa final'!$AA$48="Leve"),CONCATENATE("R7C",'Mapa final'!$O$48),"")</f>
        <v/>
      </c>
      <c r="M32" s="67" t="str">
        <f>IF(AND('Mapa final'!$Y$49="Media",'Mapa final'!$AA$49="Leve"),CONCATENATE("R7C",'Mapa final'!$O$49),"")</f>
        <v/>
      </c>
      <c r="N32" s="67" t="str">
        <f>IF(AND('Mapa final'!$Y$50="Media",'Mapa final'!$AA$50="Leve"),CONCATENATE("R7C",'Mapa final'!$O$50),"")</f>
        <v/>
      </c>
      <c r="O32" s="68" t="str">
        <f>IF(AND('Mapa final'!$Y$51="Media",'Mapa final'!$AA$51="Leve"),CONCATENATE("R7C",'Mapa final'!$O$51),"")</f>
        <v/>
      </c>
      <c r="P32" s="66" t="str">
        <f>IF(AND('Mapa final'!$Y$46="Media",'Mapa final'!$AA$46="Menor"),CONCATENATE("R7C",'Mapa final'!$O$46),"")</f>
        <v/>
      </c>
      <c r="Q32" s="67" t="str">
        <f>IF(AND('Mapa final'!$Y$47="Media",'Mapa final'!$AA$47="Menor"),CONCATENATE("R7C",'Mapa final'!$O$47),"")</f>
        <v/>
      </c>
      <c r="R32" s="67" t="str">
        <f>IF(AND('Mapa final'!$Y$48="Media",'Mapa final'!$AA$48="Menor"),CONCATENATE("R7C",'Mapa final'!$O$48),"")</f>
        <v/>
      </c>
      <c r="S32" s="67" t="str">
        <f>IF(AND('Mapa final'!$Y$49="Media",'Mapa final'!$AA$49="Menor"),CONCATENATE("R7C",'Mapa final'!$O$49),"")</f>
        <v/>
      </c>
      <c r="T32" s="67" t="str">
        <f>IF(AND('Mapa final'!$Y$50="Media",'Mapa final'!$AA$50="Menor"),CONCATENATE("R7C",'Mapa final'!$O$50),"")</f>
        <v/>
      </c>
      <c r="U32" s="68" t="str">
        <f>IF(AND('Mapa final'!$Y$51="Media",'Mapa final'!$AA$51="Menor"),CONCATENATE("R7C",'Mapa final'!$O$51),"")</f>
        <v/>
      </c>
      <c r="V32" s="66" t="str">
        <f>IF(AND('Mapa final'!$Y$46="Media",'Mapa final'!$AA$46="Moderado"),CONCATENATE("R7C",'Mapa final'!$O$46),"")</f>
        <v/>
      </c>
      <c r="W32" s="67" t="str">
        <f>IF(AND('Mapa final'!$Y$47="Media",'Mapa final'!$AA$47="Moderado"),CONCATENATE("R7C",'Mapa final'!$O$47),"")</f>
        <v/>
      </c>
      <c r="X32" s="67" t="str">
        <f>IF(AND('Mapa final'!$Y$48="Media",'Mapa final'!$AA$48="Moderado"),CONCATENATE("R7C",'Mapa final'!$O$48),"")</f>
        <v/>
      </c>
      <c r="Y32" s="67" t="str">
        <f>IF(AND('Mapa final'!$Y$49="Media",'Mapa final'!$AA$49="Moderado"),CONCATENATE("R7C",'Mapa final'!$O$49),"")</f>
        <v/>
      </c>
      <c r="Z32" s="67" t="str">
        <f>IF(AND('Mapa final'!$Y$50="Media",'Mapa final'!$AA$50="Moderado"),CONCATENATE("R7C",'Mapa final'!$O$50),"")</f>
        <v/>
      </c>
      <c r="AA32" s="68" t="str">
        <f>IF(AND('Mapa final'!$Y$51="Media",'Mapa final'!$AA$51="Moderado"),CONCATENATE("R7C",'Mapa final'!$O$51),"")</f>
        <v/>
      </c>
      <c r="AB32" s="51" t="str">
        <f>IF(AND('Mapa final'!$Y$46="Media",'Mapa final'!$AA$46="Mayor"),CONCATENATE("R7C",'Mapa final'!$O$46),"")</f>
        <v/>
      </c>
      <c r="AC32" s="52" t="str">
        <f>IF(AND('Mapa final'!$Y$47="Media",'Mapa final'!$AA$47="Mayor"),CONCATENATE("R7C",'Mapa final'!$O$47),"")</f>
        <v/>
      </c>
      <c r="AD32" s="52" t="str">
        <f>IF(AND('Mapa final'!$Y$48="Media",'Mapa final'!$AA$48="Mayor"),CONCATENATE("R7C",'Mapa final'!$O$48),"")</f>
        <v/>
      </c>
      <c r="AE32" s="52" t="str">
        <f>IF(AND('Mapa final'!$Y$49="Media",'Mapa final'!$AA$49="Mayor"),CONCATENATE("R7C",'Mapa final'!$O$49),"")</f>
        <v/>
      </c>
      <c r="AF32" s="52" t="str">
        <f>IF(AND('Mapa final'!$Y$50="Media",'Mapa final'!$AA$50="Mayor"),CONCATENATE("R7C",'Mapa final'!$O$50),"")</f>
        <v/>
      </c>
      <c r="AG32" s="53" t="str">
        <f>IF(AND('Mapa final'!$Y$51="Media",'Mapa final'!$AA$51="Mayor"),CONCATENATE("R7C",'Mapa final'!$O$51),"")</f>
        <v/>
      </c>
      <c r="AH32" s="54" t="str">
        <f>IF(AND('Mapa final'!$Y$46="Media",'Mapa final'!$AA$46="Catastrófico"),CONCATENATE("R7C",'Mapa final'!$O$46),"")</f>
        <v/>
      </c>
      <c r="AI32" s="55" t="str">
        <f>IF(AND('Mapa final'!$Y$47="Media",'Mapa final'!$AA$47="Catastrófico"),CONCATENATE("R7C",'Mapa final'!$O$47),"")</f>
        <v/>
      </c>
      <c r="AJ32" s="55" t="str">
        <f>IF(AND('Mapa final'!$Y$48="Media",'Mapa final'!$AA$48="Catastrófico"),CONCATENATE("R7C",'Mapa final'!$O$48),"")</f>
        <v/>
      </c>
      <c r="AK32" s="55" t="str">
        <f>IF(AND('Mapa final'!$Y$49="Media",'Mapa final'!$AA$49="Catastrófico"),CONCATENATE("R7C",'Mapa final'!$O$49),"")</f>
        <v/>
      </c>
      <c r="AL32" s="55" t="str">
        <f>IF(AND('Mapa final'!$Y$50="Media",'Mapa final'!$AA$50="Catastrófico"),CONCATENATE("R7C",'Mapa final'!$O$50),"")</f>
        <v/>
      </c>
      <c r="AM32" s="56" t="str">
        <f>IF(AND('Mapa final'!$Y$51="Media",'Mapa final'!$AA$51="Catastrófico"),CONCATENATE("R7C",'Mapa final'!$O$51),"")</f>
        <v/>
      </c>
      <c r="AN32" s="82"/>
      <c r="AO32" s="410"/>
      <c r="AP32" s="411"/>
      <c r="AQ32" s="411"/>
      <c r="AR32" s="411"/>
      <c r="AS32" s="411"/>
      <c r="AT32" s="41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282"/>
      <c r="C33" s="282"/>
      <c r="D33" s="283"/>
      <c r="E33" s="381"/>
      <c r="F33" s="380"/>
      <c r="G33" s="380"/>
      <c r="H33" s="380"/>
      <c r="I33" s="396"/>
      <c r="J33" s="66" t="str">
        <f>IF(AND('Mapa final'!$Y$52="Media",'Mapa final'!$AA$52="Leve"),CONCATENATE("R8C",'Mapa final'!$O$52),"")</f>
        <v/>
      </c>
      <c r="K33" s="67" t="str">
        <f>IF(AND('Mapa final'!$Y$53="Media",'Mapa final'!$AA$53="Leve"),CONCATENATE("R8C",'Mapa final'!$O$53),"")</f>
        <v/>
      </c>
      <c r="L33" s="67" t="str">
        <f>IF(AND('Mapa final'!$Y$54="Media",'Mapa final'!$AA$54="Leve"),CONCATENATE("R8C",'Mapa final'!$O$54),"")</f>
        <v/>
      </c>
      <c r="M33" s="67" t="str">
        <f>IF(AND('Mapa final'!$Y$55="Media",'Mapa final'!$AA$55="Leve"),CONCATENATE("R8C",'Mapa final'!$O$55),"")</f>
        <v/>
      </c>
      <c r="N33" s="67" t="str">
        <f>IF(AND('Mapa final'!$Y$56="Media",'Mapa final'!$AA$56="Leve"),CONCATENATE("R8C",'Mapa final'!$O$56),"")</f>
        <v/>
      </c>
      <c r="O33" s="68" t="str">
        <f>IF(AND('Mapa final'!$Y$57="Media",'Mapa final'!$AA$57="Leve"),CONCATENATE("R8C",'Mapa final'!$O$57),"")</f>
        <v/>
      </c>
      <c r="P33" s="66" t="str">
        <f>IF(AND('Mapa final'!$Y$52="Media",'Mapa final'!$AA$52="Menor"),CONCATENATE("R8C",'Mapa final'!$O$52),"")</f>
        <v/>
      </c>
      <c r="Q33" s="67" t="str">
        <f>IF(AND('Mapa final'!$Y$53="Media",'Mapa final'!$AA$53="Menor"),CONCATENATE("R8C",'Mapa final'!$O$53),"")</f>
        <v/>
      </c>
      <c r="R33" s="67" t="str">
        <f>IF(AND('Mapa final'!$Y$54="Media",'Mapa final'!$AA$54="Menor"),CONCATENATE("R8C",'Mapa final'!$O$54),"")</f>
        <v/>
      </c>
      <c r="S33" s="67" t="str">
        <f>IF(AND('Mapa final'!$Y$55="Media",'Mapa final'!$AA$55="Menor"),CONCATENATE("R8C",'Mapa final'!$O$55),"")</f>
        <v/>
      </c>
      <c r="T33" s="67" t="str">
        <f>IF(AND('Mapa final'!$Y$56="Media",'Mapa final'!$AA$56="Menor"),CONCATENATE("R8C",'Mapa final'!$O$56),"")</f>
        <v/>
      </c>
      <c r="U33" s="68" t="str">
        <f>IF(AND('Mapa final'!$Y$57="Media",'Mapa final'!$AA$57="Menor"),CONCATENATE("R8C",'Mapa final'!$O$57),"")</f>
        <v/>
      </c>
      <c r="V33" s="66" t="str">
        <f>IF(AND('Mapa final'!$Y$52="Media",'Mapa final'!$AA$52="Moderado"),CONCATENATE("R8C",'Mapa final'!$O$52),"")</f>
        <v/>
      </c>
      <c r="W33" s="67" t="str">
        <f>IF(AND('Mapa final'!$Y$53="Media",'Mapa final'!$AA$53="Moderado"),CONCATENATE("R8C",'Mapa final'!$O$53),"")</f>
        <v/>
      </c>
      <c r="X33" s="67" t="str">
        <f>IF(AND('Mapa final'!$Y$54="Media",'Mapa final'!$AA$54="Moderado"),CONCATENATE("R8C",'Mapa final'!$O$54),"")</f>
        <v/>
      </c>
      <c r="Y33" s="67" t="str">
        <f>IF(AND('Mapa final'!$Y$55="Media",'Mapa final'!$AA$55="Moderado"),CONCATENATE("R8C",'Mapa final'!$O$55),"")</f>
        <v/>
      </c>
      <c r="Z33" s="67" t="str">
        <f>IF(AND('Mapa final'!$Y$56="Media",'Mapa final'!$AA$56="Moderado"),CONCATENATE("R8C",'Mapa final'!$O$56),"")</f>
        <v/>
      </c>
      <c r="AA33" s="68" t="str">
        <f>IF(AND('Mapa final'!$Y$57="Media",'Mapa final'!$AA$57="Moderado"),CONCATENATE("R8C",'Mapa final'!$O$57),"")</f>
        <v/>
      </c>
      <c r="AB33" s="51" t="str">
        <f>IF(AND('Mapa final'!$Y$52="Media",'Mapa final'!$AA$52="Mayor"),CONCATENATE("R8C",'Mapa final'!$O$52),"")</f>
        <v/>
      </c>
      <c r="AC33" s="52" t="str">
        <f>IF(AND('Mapa final'!$Y$53="Media",'Mapa final'!$AA$53="Mayor"),CONCATENATE("R8C",'Mapa final'!$O$53),"")</f>
        <v/>
      </c>
      <c r="AD33" s="52" t="str">
        <f>IF(AND('Mapa final'!$Y$54="Media",'Mapa final'!$AA$54="Mayor"),CONCATENATE("R8C",'Mapa final'!$O$54),"")</f>
        <v/>
      </c>
      <c r="AE33" s="52" t="str">
        <f>IF(AND('Mapa final'!$Y$55="Media",'Mapa final'!$AA$55="Mayor"),CONCATENATE("R8C",'Mapa final'!$O$55),"")</f>
        <v/>
      </c>
      <c r="AF33" s="52" t="str">
        <f>IF(AND('Mapa final'!$Y$56="Media",'Mapa final'!$AA$56="Mayor"),CONCATENATE("R8C",'Mapa final'!$O$56),"")</f>
        <v/>
      </c>
      <c r="AG33" s="53" t="str">
        <f>IF(AND('Mapa final'!$Y$57="Media",'Mapa final'!$AA$57="Mayor"),CONCATENATE("R8C",'Mapa final'!$O$57),"")</f>
        <v/>
      </c>
      <c r="AH33" s="54" t="str">
        <f>IF(AND('Mapa final'!$Y$52="Media",'Mapa final'!$AA$52="Catastrófico"),CONCATENATE("R8C",'Mapa final'!$O$52),"")</f>
        <v/>
      </c>
      <c r="AI33" s="55" t="str">
        <f>IF(AND('Mapa final'!$Y$53="Media",'Mapa final'!$AA$53="Catastrófico"),CONCATENATE("R8C",'Mapa final'!$O$53),"")</f>
        <v/>
      </c>
      <c r="AJ33" s="55" t="str">
        <f>IF(AND('Mapa final'!$Y$54="Media",'Mapa final'!$AA$54="Catastrófico"),CONCATENATE("R8C",'Mapa final'!$O$54),"")</f>
        <v/>
      </c>
      <c r="AK33" s="55" t="str">
        <f>IF(AND('Mapa final'!$Y$55="Media",'Mapa final'!$AA$55="Catastrófico"),CONCATENATE("R8C",'Mapa final'!$O$55),"")</f>
        <v/>
      </c>
      <c r="AL33" s="55" t="str">
        <f>IF(AND('Mapa final'!$Y$56="Media",'Mapa final'!$AA$56="Catastrófico"),CONCATENATE("R8C",'Mapa final'!$O$56),"")</f>
        <v/>
      </c>
      <c r="AM33" s="56" t="str">
        <f>IF(AND('Mapa final'!$Y$57="Media",'Mapa final'!$AA$57="Catastrófico"),CONCATENATE("R8C",'Mapa final'!$O$57),"")</f>
        <v/>
      </c>
      <c r="AN33" s="82"/>
      <c r="AO33" s="410"/>
      <c r="AP33" s="411"/>
      <c r="AQ33" s="411"/>
      <c r="AR33" s="411"/>
      <c r="AS33" s="411"/>
      <c r="AT33" s="41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282"/>
      <c r="C34" s="282"/>
      <c r="D34" s="283"/>
      <c r="E34" s="381"/>
      <c r="F34" s="380"/>
      <c r="G34" s="380"/>
      <c r="H34" s="380"/>
      <c r="I34" s="396"/>
      <c r="J34" s="66" t="str">
        <f>IF(AND('Mapa final'!$Y$58="Media",'Mapa final'!$AA$58="Leve"),CONCATENATE("R9C",'Mapa final'!$O$58),"")</f>
        <v/>
      </c>
      <c r="K34" s="67" t="str">
        <f>IF(AND('Mapa final'!$Y$59="Media",'Mapa final'!$AA$59="Leve"),CONCATENATE("R9C",'Mapa final'!$O$59),"")</f>
        <v/>
      </c>
      <c r="L34" s="67" t="str">
        <f>IF(AND('Mapa final'!$Y$60="Media",'Mapa final'!$AA$60="Leve"),CONCATENATE("R9C",'Mapa final'!$O$60),"")</f>
        <v/>
      </c>
      <c r="M34" s="67" t="str">
        <f>IF(AND('Mapa final'!$Y$61="Media",'Mapa final'!$AA$61="Leve"),CONCATENATE("R9C",'Mapa final'!$O$61),"")</f>
        <v/>
      </c>
      <c r="N34" s="67" t="str">
        <f>IF(AND('Mapa final'!$Y$62="Media",'Mapa final'!$AA$62="Leve"),CONCATENATE("R9C",'Mapa final'!$O$62),"")</f>
        <v/>
      </c>
      <c r="O34" s="68" t="str">
        <f>IF(AND('Mapa final'!$Y$63="Media",'Mapa final'!$AA$63="Leve"),CONCATENATE("R9C",'Mapa final'!$O$63),"")</f>
        <v/>
      </c>
      <c r="P34" s="66" t="str">
        <f>IF(AND('Mapa final'!$Y$58="Media",'Mapa final'!$AA$58="Menor"),CONCATENATE("R9C",'Mapa final'!$O$58),"")</f>
        <v/>
      </c>
      <c r="Q34" s="67" t="str">
        <f>IF(AND('Mapa final'!$Y$59="Media",'Mapa final'!$AA$59="Menor"),CONCATENATE("R9C",'Mapa final'!$O$59),"")</f>
        <v/>
      </c>
      <c r="R34" s="67" t="str">
        <f>IF(AND('Mapa final'!$Y$60="Media",'Mapa final'!$AA$60="Menor"),CONCATENATE("R9C",'Mapa final'!$O$60),"")</f>
        <v/>
      </c>
      <c r="S34" s="67" t="str">
        <f>IF(AND('Mapa final'!$Y$61="Media",'Mapa final'!$AA$61="Menor"),CONCATENATE("R9C",'Mapa final'!$O$61),"")</f>
        <v/>
      </c>
      <c r="T34" s="67" t="str">
        <f>IF(AND('Mapa final'!$Y$62="Media",'Mapa final'!$AA$62="Menor"),CONCATENATE("R9C",'Mapa final'!$O$62),"")</f>
        <v/>
      </c>
      <c r="U34" s="68" t="str">
        <f>IF(AND('Mapa final'!$Y$63="Media",'Mapa final'!$AA$63="Menor"),CONCATENATE("R9C",'Mapa final'!$O$63),"")</f>
        <v/>
      </c>
      <c r="V34" s="66" t="str">
        <f>IF(AND('Mapa final'!$Y$58="Media",'Mapa final'!$AA$58="Moderado"),CONCATENATE("R9C",'Mapa final'!$O$58),"")</f>
        <v/>
      </c>
      <c r="W34" s="67" t="str">
        <f>IF(AND('Mapa final'!$Y$59="Media",'Mapa final'!$AA$59="Moderado"),CONCATENATE("R9C",'Mapa final'!$O$59),"")</f>
        <v/>
      </c>
      <c r="X34" s="67" t="str">
        <f>IF(AND('Mapa final'!$Y$60="Media",'Mapa final'!$AA$60="Moderado"),CONCATENATE("R9C",'Mapa final'!$O$60),"")</f>
        <v/>
      </c>
      <c r="Y34" s="67" t="str">
        <f>IF(AND('Mapa final'!$Y$61="Media",'Mapa final'!$AA$61="Moderado"),CONCATENATE("R9C",'Mapa final'!$O$61),"")</f>
        <v/>
      </c>
      <c r="Z34" s="67" t="str">
        <f>IF(AND('Mapa final'!$Y$62="Media",'Mapa final'!$AA$62="Moderado"),CONCATENATE("R9C",'Mapa final'!$O$62),"")</f>
        <v/>
      </c>
      <c r="AA34" s="68" t="str">
        <f>IF(AND('Mapa final'!$Y$63="Media",'Mapa final'!$AA$63="Moderado"),CONCATENATE("R9C",'Mapa final'!$O$63),"")</f>
        <v/>
      </c>
      <c r="AB34" s="51" t="str">
        <f>IF(AND('Mapa final'!$Y$58="Media",'Mapa final'!$AA$58="Mayor"),CONCATENATE("R9C",'Mapa final'!$O$58),"")</f>
        <v/>
      </c>
      <c r="AC34" s="52" t="str">
        <f>IF(AND('Mapa final'!$Y$59="Media",'Mapa final'!$AA$59="Mayor"),CONCATENATE("R9C",'Mapa final'!$O$59),"")</f>
        <v/>
      </c>
      <c r="AD34" s="52" t="str">
        <f>IF(AND('Mapa final'!$Y$60="Media",'Mapa final'!$AA$60="Mayor"),CONCATENATE("R9C",'Mapa final'!$O$60),"")</f>
        <v/>
      </c>
      <c r="AE34" s="52" t="str">
        <f>IF(AND('Mapa final'!$Y$61="Media",'Mapa final'!$AA$61="Mayor"),CONCATENATE("R9C",'Mapa final'!$O$61),"")</f>
        <v/>
      </c>
      <c r="AF34" s="52" t="str">
        <f>IF(AND('Mapa final'!$Y$62="Media",'Mapa final'!$AA$62="Mayor"),CONCATENATE("R9C",'Mapa final'!$O$62),"")</f>
        <v/>
      </c>
      <c r="AG34" s="53" t="str">
        <f>IF(AND('Mapa final'!$Y$63="Media",'Mapa final'!$AA$63="Mayor"),CONCATENATE("R9C",'Mapa final'!$O$63),"")</f>
        <v/>
      </c>
      <c r="AH34" s="54" t="str">
        <f>IF(AND('Mapa final'!$Y$58="Media",'Mapa final'!$AA$58="Catastrófico"),CONCATENATE("R9C",'Mapa final'!$O$58),"")</f>
        <v/>
      </c>
      <c r="AI34" s="55" t="str">
        <f>IF(AND('Mapa final'!$Y$59="Media",'Mapa final'!$AA$59="Catastrófico"),CONCATENATE("R9C",'Mapa final'!$O$59),"")</f>
        <v/>
      </c>
      <c r="AJ34" s="55" t="str">
        <f>IF(AND('Mapa final'!$Y$60="Media",'Mapa final'!$AA$60="Catastrófico"),CONCATENATE("R9C",'Mapa final'!$O$60),"")</f>
        <v/>
      </c>
      <c r="AK34" s="55" t="str">
        <f>IF(AND('Mapa final'!$Y$61="Media",'Mapa final'!$AA$61="Catastrófico"),CONCATENATE("R9C",'Mapa final'!$O$61),"")</f>
        <v/>
      </c>
      <c r="AL34" s="55" t="str">
        <f>IF(AND('Mapa final'!$Y$62="Media",'Mapa final'!$AA$62="Catastrófico"),CONCATENATE("R9C",'Mapa final'!$O$62),"")</f>
        <v/>
      </c>
      <c r="AM34" s="56" t="str">
        <f>IF(AND('Mapa final'!$Y$63="Media",'Mapa final'!$AA$63="Catastrófico"),CONCATENATE("R9C",'Mapa final'!$O$63),"")</f>
        <v/>
      </c>
      <c r="AN34" s="82"/>
      <c r="AO34" s="410"/>
      <c r="AP34" s="411"/>
      <c r="AQ34" s="411"/>
      <c r="AR34" s="411"/>
      <c r="AS34" s="411"/>
      <c r="AT34" s="41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282"/>
      <c r="C35" s="282"/>
      <c r="D35" s="283"/>
      <c r="E35" s="382"/>
      <c r="F35" s="383"/>
      <c r="G35" s="383"/>
      <c r="H35" s="383"/>
      <c r="I35" s="397"/>
      <c r="J35" s="66" t="str">
        <f>IF(AND('Mapa final'!$Y$64="Media",'Mapa final'!$AA$64="Leve"),CONCATENATE("R10C",'Mapa final'!$O$64),"")</f>
        <v/>
      </c>
      <c r="K35" s="67" t="str">
        <f>IF(AND('Mapa final'!$Y$65="Media",'Mapa final'!$AA$65="Leve"),CONCATENATE("R10C",'Mapa final'!$O$65),"")</f>
        <v/>
      </c>
      <c r="L35" s="67" t="str">
        <f>IF(AND('Mapa final'!$Y$66="Media",'Mapa final'!$AA$66="Leve"),CONCATENATE("R10C",'Mapa final'!$O$66),"")</f>
        <v/>
      </c>
      <c r="M35" s="67" t="str">
        <f>IF(AND('Mapa final'!$Y$67="Media",'Mapa final'!$AA$67="Leve"),CONCATENATE("R10C",'Mapa final'!$O$67),"")</f>
        <v/>
      </c>
      <c r="N35" s="67" t="str">
        <f>IF(AND('Mapa final'!$Y$68="Media",'Mapa final'!$AA$68="Leve"),CONCATENATE("R10C",'Mapa final'!$O$68),"")</f>
        <v/>
      </c>
      <c r="O35" s="68" t="str">
        <f>IF(AND('Mapa final'!$Y$69="Media",'Mapa final'!$AA$69="Leve"),CONCATENATE("R10C",'Mapa final'!$O$69),"")</f>
        <v/>
      </c>
      <c r="P35" s="66" t="str">
        <f>IF(AND('Mapa final'!$Y$64="Media",'Mapa final'!$AA$64="Menor"),CONCATENATE("R10C",'Mapa final'!$O$64),"")</f>
        <v/>
      </c>
      <c r="Q35" s="67" t="str">
        <f>IF(AND('Mapa final'!$Y$65="Media",'Mapa final'!$AA$65="Menor"),CONCATENATE("R10C",'Mapa final'!$O$65),"")</f>
        <v/>
      </c>
      <c r="R35" s="67" t="str">
        <f>IF(AND('Mapa final'!$Y$66="Media",'Mapa final'!$AA$66="Menor"),CONCATENATE("R10C",'Mapa final'!$O$66),"")</f>
        <v/>
      </c>
      <c r="S35" s="67" t="str">
        <f>IF(AND('Mapa final'!$Y$67="Media",'Mapa final'!$AA$67="Menor"),CONCATENATE("R10C",'Mapa final'!$O$67),"")</f>
        <v/>
      </c>
      <c r="T35" s="67" t="str">
        <f>IF(AND('Mapa final'!$Y$68="Media",'Mapa final'!$AA$68="Menor"),CONCATENATE("R10C",'Mapa final'!$O$68),"")</f>
        <v/>
      </c>
      <c r="U35" s="68" t="str">
        <f>IF(AND('Mapa final'!$Y$69="Media",'Mapa final'!$AA$69="Menor"),CONCATENATE("R10C",'Mapa final'!$O$69),"")</f>
        <v/>
      </c>
      <c r="V35" s="66" t="str">
        <f>IF(AND('Mapa final'!$Y$64="Media",'Mapa final'!$AA$64="Moderado"),CONCATENATE("R10C",'Mapa final'!$O$64),"")</f>
        <v/>
      </c>
      <c r="W35" s="67" t="str">
        <f>IF(AND('Mapa final'!$Y$65="Media",'Mapa final'!$AA$65="Moderado"),CONCATENATE("R10C",'Mapa final'!$O$65),"")</f>
        <v/>
      </c>
      <c r="X35" s="67" t="str">
        <f>IF(AND('Mapa final'!$Y$66="Media",'Mapa final'!$AA$66="Moderado"),CONCATENATE("R10C",'Mapa final'!$O$66),"")</f>
        <v/>
      </c>
      <c r="Y35" s="67" t="str">
        <f>IF(AND('Mapa final'!$Y$67="Media",'Mapa final'!$AA$67="Moderado"),CONCATENATE("R10C",'Mapa final'!$O$67),"")</f>
        <v/>
      </c>
      <c r="Z35" s="67" t="str">
        <f>IF(AND('Mapa final'!$Y$68="Media",'Mapa final'!$AA$68="Moderado"),CONCATENATE("R10C",'Mapa final'!$O$68),"")</f>
        <v/>
      </c>
      <c r="AA35" s="68" t="str">
        <f>IF(AND('Mapa final'!$Y$69="Media",'Mapa final'!$AA$69="Moderado"),CONCATENATE("R10C",'Mapa final'!$O$69),"")</f>
        <v/>
      </c>
      <c r="AB35" s="57" t="str">
        <f>IF(AND('Mapa final'!$Y$64="Media",'Mapa final'!$AA$64="Mayor"),CONCATENATE("R10C",'Mapa final'!$O$64),"")</f>
        <v/>
      </c>
      <c r="AC35" s="58" t="str">
        <f>IF(AND('Mapa final'!$Y$65="Media",'Mapa final'!$AA$65="Mayor"),CONCATENATE("R10C",'Mapa final'!$O$65),"")</f>
        <v/>
      </c>
      <c r="AD35" s="58" t="str">
        <f>IF(AND('Mapa final'!$Y$66="Media",'Mapa final'!$AA$66="Mayor"),CONCATENATE("R10C",'Mapa final'!$O$66),"")</f>
        <v/>
      </c>
      <c r="AE35" s="58" t="str">
        <f>IF(AND('Mapa final'!$Y$67="Media",'Mapa final'!$AA$67="Mayor"),CONCATENATE("R10C",'Mapa final'!$O$67),"")</f>
        <v/>
      </c>
      <c r="AF35" s="58" t="str">
        <f>IF(AND('Mapa final'!$Y$68="Media",'Mapa final'!$AA$68="Mayor"),CONCATENATE("R10C",'Mapa final'!$O$68),"")</f>
        <v/>
      </c>
      <c r="AG35" s="59" t="str">
        <f>IF(AND('Mapa final'!$Y$69="Media",'Mapa final'!$AA$69="Mayor"),CONCATENATE("R10C",'Mapa final'!$O$69),"")</f>
        <v/>
      </c>
      <c r="AH35" s="60" t="str">
        <f>IF(AND('Mapa final'!$Y$64="Media",'Mapa final'!$AA$64="Catastrófico"),CONCATENATE("R10C",'Mapa final'!$O$64),"")</f>
        <v/>
      </c>
      <c r="AI35" s="61" t="str">
        <f>IF(AND('Mapa final'!$Y$65="Media",'Mapa final'!$AA$65="Catastrófico"),CONCATENATE("R10C",'Mapa final'!$O$65),"")</f>
        <v/>
      </c>
      <c r="AJ35" s="61" t="str">
        <f>IF(AND('Mapa final'!$Y$66="Media",'Mapa final'!$AA$66="Catastrófico"),CONCATENATE("R10C",'Mapa final'!$O$66),"")</f>
        <v/>
      </c>
      <c r="AK35" s="61" t="str">
        <f>IF(AND('Mapa final'!$Y$67="Media",'Mapa final'!$AA$67="Catastrófico"),CONCATENATE("R10C",'Mapa final'!$O$67),"")</f>
        <v/>
      </c>
      <c r="AL35" s="61" t="str">
        <f>IF(AND('Mapa final'!$Y$68="Media",'Mapa final'!$AA$68="Catastrófico"),CONCATENATE("R10C",'Mapa final'!$O$68),"")</f>
        <v/>
      </c>
      <c r="AM35" s="62" t="str">
        <f>IF(AND('Mapa final'!$Y$69="Media",'Mapa final'!$AA$69="Catastrófico"),CONCATENATE("R10C",'Mapa final'!$O$69),"")</f>
        <v/>
      </c>
      <c r="AN35" s="82"/>
      <c r="AO35" s="413"/>
      <c r="AP35" s="414"/>
      <c r="AQ35" s="414"/>
      <c r="AR35" s="414"/>
      <c r="AS35" s="414"/>
      <c r="AT35" s="415"/>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282"/>
      <c r="C36" s="282"/>
      <c r="D36" s="283"/>
      <c r="E36" s="377" t="s">
        <v>113</v>
      </c>
      <c r="F36" s="378"/>
      <c r="G36" s="378"/>
      <c r="H36" s="378"/>
      <c r="I36" s="378"/>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R1C1</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398" t="s">
        <v>81</v>
      </c>
      <c r="AP36" s="399"/>
      <c r="AQ36" s="399"/>
      <c r="AR36" s="399"/>
      <c r="AS36" s="399"/>
      <c r="AT36" s="40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282"/>
      <c r="C37" s="282"/>
      <c r="D37" s="283"/>
      <c r="E37" s="379"/>
      <c r="F37" s="380"/>
      <c r="G37" s="380"/>
      <c r="H37" s="380"/>
      <c r="I37" s="380"/>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R2C1</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401"/>
      <c r="AP37" s="402"/>
      <c r="AQ37" s="402"/>
      <c r="AR37" s="402"/>
      <c r="AS37" s="402"/>
      <c r="AT37" s="403"/>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282"/>
      <c r="C38" s="282"/>
      <c r="D38" s="283"/>
      <c r="E38" s="381"/>
      <c r="F38" s="380"/>
      <c r="G38" s="380"/>
      <c r="H38" s="380"/>
      <c r="I38" s="380"/>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R3C1</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401"/>
      <c r="AP38" s="402"/>
      <c r="AQ38" s="402"/>
      <c r="AR38" s="402"/>
      <c r="AS38" s="402"/>
      <c r="AT38" s="403"/>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282"/>
      <c r="C39" s="282"/>
      <c r="D39" s="283"/>
      <c r="E39" s="381"/>
      <c r="F39" s="380"/>
      <c r="G39" s="380"/>
      <c r="H39" s="380"/>
      <c r="I39" s="380"/>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401"/>
      <c r="AP39" s="402"/>
      <c r="AQ39" s="402"/>
      <c r="AR39" s="402"/>
      <c r="AS39" s="402"/>
      <c r="AT39" s="403"/>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282"/>
      <c r="C40" s="282"/>
      <c r="D40" s="283"/>
      <c r="E40" s="381"/>
      <c r="F40" s="380"/>
      <c r="G40" s="380"/>
      <c r="H40" s="380"/>
      <c r="I40" s="380"/>
      <c r="J40" s="75" t="str">
        <f>IF(AND('Mapa final'!$Y$34="Baja",'Mapa final'!$AA$34="Leve"),CONCATENATE("R5C",'Mapa final'!$O$34),"")</f>
        <v/>
      </c>
      <c r="K40" s="76" t="str">
        <f>IF(AND('Mapa final'!$Y$35="Baja",'Mapa final'!$AA$35="Leve"),CONCATENATE("R5C",'Mapa final'!$O$35),"")</f>
        <v/>
      </c>
      <c r="L40" s="76" t="str">
        <f>IF(AND('Mapa final'!$Y$36="Baja",'Mapa final'!$AA$36="Leve"),CONCATENATE("R5C",'Mapa final'!$O$36),"")</f>
        <v/>
      </c>
      <c r="M40" s="76" t="str">
        <f>IF(AND('Mapa final'!$Y$37="Baja",'Mapa final'!$AA$37="Leve"),CONCATENATE("R5C",'Mapa final'!$O$37),"")</f>
        <v/>
      </c>
      <c r="N40" s="76" t="str">
        <f>IF(AND('Mapa final'!$Y$38="Baja",'Mapa final'!$AA$38="Leve"),CONCATENATE("R5C",'Mapa final'!$O$38),"")</f>
        <v/>
      </c>
      <c r="O40" s="77" t="str">
        <f>IF(AND('Mapa final'!$Y$39="Baja",'Mapa final'!$AA$39="Leve"),CONCATENATE("R5C",'Mapa final'!$O$39),"")</f>
        <v/>
      </c>
      <c r="P40" s="66" t="str">
        <f>IF(AND('Mapa final'!$Y$34="Baja",'Mapa final'!$AA$34="Menor"),CONCATENATE("R5C",'Mapa final'!$O$34),"")</f>
        <v/>
      </c>
      <c r="Q40" s="67" t="str">
        <f>IF(AND('Mapa final'!$Y$35="Baja",'Mapa final'!$AA$35="Menor"),CONCATENATE("R5C",'Mapa final'!$O$35),"")</f>
        <v/>
      </c>
      <c r="R40" s="67" t="str">
        <f>IF(AND('Mapa final'!$Y$36="Baja",'Mapa final'!$AA$36="Menor"),CONCATENATE("R5C",'Mapa final'!$O$36),"")</f>
        <v/>
      </c>
      <c r="S40" s="67" t="str">
        <f>IF(AND('Mapa final'!$Y$37="Baja",'Mapa final'!$AA$37="Menor"),CONCATENATE("R5C",'Mapa final'!$O$37),"")</f>
        <v/>
      </c>
      <c r="T40" s="67" t="str">
        <f>IF(AND('Mapa final'!$Y$38="Baja",'Mapa final'!$AA$38="Menor"),CONCATENATE("R5C",'Mapa final'!$O$38),"")</f>
        <v/>
      </c>
      <c r="U40" s="68" t="str">
        <f>IF(AND('Mapa final'!$Y$39="Baja",'Mapa final'!$AA$39="Menor"),CONCATENATE("R5C",'Mapa final'!$O$39),"")</f>
        <v/>
      </c>
      <c r="V40" s="66" t="str">
        <f>IF(AND('Mapa final'!$Y$34="Baja",'Mapa final'!$AA$34="Moderado"),CONCATENATE("R5C",'Mapa final'!$O$34),"")</f>
        <v/>
      </c>
      <c r="W40" s="67" t="str">
        <f>IF(AND('Mapa final'!$Y$35="Baja",'Mapa final'!$AA$35="Moderado"),CONCATENATE("R5C",'Mapa final'!$O$35),"")</f>
        <v/>
      </c>
      <c r="X40" s="67" t="str">
        <f>IF(AND('Mapa final'!$Y$36="Baja",'Mapa final'!$AA$36="Moderado"),CONCATENATE("R5C",'Mapa final'!$O$36),"")</f>
        <v/>
      </c>
      <c r="Y40" s="67" t="str">
        <f>IF(AND('Mapa final'!$Y$37="Baja",'Mapa final'!$AA$37="Moderado"),CONCATENATE("R5C",'Mapa final'!$O$37),"")</f>
        <v/>
      </c>
      <c r="Z40" s="67" t="str">
        <f>IF(AND('Mapa final'!$Y$38="Baja",'Mapa final'!$AA$38="Moderado"),CONCATENATE("R5C",'Mapa final'!$O$38),"")</f>
        <v/>
      </c>
      <c r="AA40" s="68" t="str">
        <f>IF(AND('Mapa final'!$Y$39="Baja",'Mapa final'!$AA$39="Moderado"),CONCATENATE("R5C",'Mapa final'!$O$39),"")</f>
        <v/>
      </c>
      <c r="AB40" s="51" t="str">
        <f>IF(AND('Mapa final'!$Y$34="Baja",'Mapa final'!$AA$34="Mayor"),CONCATENATE("R5C",'Mapa final'!$O$34),"")</f>
        <v/>
      </c>
      <c r="AC40" s="52" t="str">
        <f>IF(AND('Mapa final'!$Y$35="Baja",'Mapa final'!$AA$35="Mayor"),CONCATENATE("R5C",'Mapa final'!$O$35),"")</f>
        <v/>
      </c>
      <c r="AD40" s="52" t="str">
        <f>IF(AND('Mapa final'!$Y$36="Baja",'Mapa final'!$AA$36="Mayor"),CONCATENATE("R5C",'Mapa final'!$O$36),"")</f>
        <v/>
      </c>
      <c r="AE40" s="52" t="str">
        <f>IF(AND('Mapa final'!$Y$37="Baja",'Mapa final'!$AA$37="Mayor"),CONCATENATE("R5C",'Mapa final'!$O$37),"")</f>
        <v/>
      </c>
      <c r="AF40" s="52" t="str">
        <f>IF(AND('Mapa final'!$Y$38="Baja",'Mapa final'!$AA$38="Mayor"),CONCATENATE("R5C",'Mapa final'!$O$38),"")</f>
        <v/>
      </c>
      <c r="AG40" s="53" t="str">
        <f>IF(AND('Mapa final'!$Y$39="Baja",'Mapa final'!$AA$39="Mayor"),CONCATENATE("R5C",'Mapa final'!$O$39),"")</f>
        <v/>
      </c>
      <c r="AH40" s="54" t="str">
        <f>IF(AND('Mapa final'!$Y$34="Baja",'Mapa final'!$AA$34="Catastrófico"),CONCATENATE("R5C",'Mapa final'!$O$34),"")</f>
        <v/>
      </c>
      <c r="AI40" s="55" t="str">
        <f>IF(AND('Mapa final'!$Y$35="Baja",'Mapa final'!$AA$35="Catastrófico"),CONCATENATE("R5C",'Mapa final'!$O$35),"")</f>
        <v/>
      </c>
      <c r="AJ40" s="55" t="str">
        <f>IF(AND('Mapa final'!$Y$36="Baja",'Mapa final'!$AA$36="Catastrófico"),CONCATENATE("R5C",'Mapa final'!$O$36),"")</f>
        <v/>
      </c>
      <c r="AK40" s="55" t="str">
        <f>IF(AND('Mapa final'!$Y$37="Baja",'Mapa final'!$AA$37="Catastrófico"),CONCATENATE("R5C",'Mapa final'!$O$37),"")</f>
        <v/>
      </c>
      <c r="AL40" s="55" t="str">
        <f>IF(AND('Mapa final'!$Y$38="Baja",'Mapa final'!$AA$38="Catastrófico"),CONCATENATE("R5C",'Mapa final'!$O$38),"")</f>
        <v/>
      </c>
      <c r="AM40" s="56" t="str">
        <f>IF(AND('Mapa final'!$Y$39="Baja",'Mapa final'!$AA$39="Catastrófico"),CONCATENATE("R5C",'Mapa final'!$O$39),"")</f>
        <v/>
      </c>
      <c r="AN40" s="82"/>
      <c r="AO40" s="401"/>
      <c r="AP40" s="402"/>
      <c r="AQ40" s="402"/>
      <c r="AR40" s="402"/>
      <c r="AS40" s="402"/>
      <c r="AT40" s="403"/>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282"/>
      <c r="C41" s="282"/>
      <c r="D41" s="283"/>
      <c r="E41" s="381"/>
      <c r="F41" s="380"/>
      <c r="G41" s="380"/>
      <c r="H41" s="380"/>
      <c r="I41" s="380"/>
      <c r="J41" s="75" t="str">
        <f>IF(AND('Mapa final'!$Y$40="Baja",'Mapa final'!$AA$40="Leve"),CONCATENATE("R6C",'Mapa final'!$O$40),"")</f>
        <v/>
      </c>
      <c r="K41" s="76" t="str">
        <f>IF(AND('Mapa final'!$Y$41="Baja",'Mapa final'!$AA$41="Leve"),CONCATENATE("R6C",'Mapa final'!$O$41),"")</f>
        <v/>
      </c>
      <c r="L41" s="76" t="str">
        <f>IF(AND('Mapa final'!$Y$42="Baja",'Mapa final'!$AA$42="Leve"),CONCATENATE("R6C",'Mapa final'!$O$42),"")</f>
        <v/>
      </c>
      <c r="M41" s="76" t="str">
        <f>IF(AND('Mapa final'!$Y$43="Baja",'Mapa final'!$AA$43="Leve"),CONCATENATE("R6C",'Mapa final'!$O$43),"")</f>
        <v/>
      </c>
      <c r="N41" s="76" t="str">
        <f>IF(AND('Mapa final'!$Y$44="Baja",'Mapa final'!$AA$44="Leve"),CONCATENATE("R6C",'Mapa final'!$O$44),"")</f>
        <v/>
      </c>
      <c r="O41" s="77" t="str">
        <f>IF(AND('Mapa final'!$Y$45="Baja",'Mapa final'!$AA$45="Leve"),CONCATENATE("R6C",'Mapa final'!$O$45),"")</f>
        <v/>
      </c>
      <c r="P41" s="66" t="str">
        <f>IF(AND('Mapa final'!$Y$40="Baja",'Mapa final'!$AA$40="Menor"),CONCATENATE("R6C",'Mapa final'!$O$40),"")</f>
        <v/>
      </c>
      <c r="Q41" s="67" t="str">
        <f>IF(AND('Mapa final'!$Y$41="Baja",'Mapa final'!$AA$41="Menor"),CONCATENATE("R6C",'Mapa final'!$O$41),"")</f>
        <v/>
      </c>
      <c r="R41" s="67" t="str">
        <f>IF(AND('Mapa final'!$Y$42="Baja",'Mapa final'!$AA$42="Menor"),CONCATENATE("R6C",'Mapa final'!$O$42),"")</f>
        <v/>
      </c>
      <c r="S41" s="67" t="str">
        <f>IF(AND('Mapa final'!$Y$43="Baja",'Mapa final'!$AA$43="Menor"),CONCATENATE("R6C",'Mapa final'!$O$43),"")</f>
        <v/>
      </c>
      <c r="T41" s="67" t="str">
        <f>IF(AND('Mapa final'!$Y$44="Baja",'Mapa final'!$AA$44="Menor"),CONCATENATE("R6C",'Mapa final'!$O$44),"")</f>
        <v/>
      </c>
      <c r="U41" s="68" t="str">
        <f>IF(AND('Mapa final'!$Y$45="Baja",'Mapa final'!$AA$45="Menor"),CONCATENATE("R6C",'Mapa final'!$O$45),"")</f>
        <v/>
      </c>
      <c r="V41" s="66" t="str">
        <f>IF(AND('Mapa final'!$Y$40="Baja",'Mapa final'!$AA$40="Moderado"),CONCATENATE("R6C",'Mapa final'!$O$40),"")</f>
        <v/>
      </c>
      <c r="W41" s="67" t="str">
        <f>IF(AND('Mapa final'!$Y$41="Baja",'Mapa final'!$AA$41="Moderado"),CONCATENATE("R6C",'Mapa final'!$O$41),"")</f>
        <v/>
      </c>
      <c r="X41" s="67" t="str">
        <f>IF(AND('Mapa final'!$Y$42="Baja",'Mapa final'!$AA$42="Moderado"),CONCATENATE("R6C",'Mapa final'!$O$42),"")</f>
        <v/>
      </c>
      <c r="Y41" s="67" t="str">
        <f>IF(AND('Mapa final'!$Y$43="Baja",'Mapa final'!$AA$43="Moderado"),CONCATENATE("R6C",'Mapa final'!$O$43),"")</f>
        <v/>
      </c>
      <c r="Z41" s="67" t="str">
        <f>IF(AND('Mapa final'!$Y$44="Baja",'Mapa final'!$AA$44="Moderado"),CONCATENATE("R6C",'Mapa final'!$O$44),"")</f>
        <v/>
      </c>
      <c r="AA41" s="68" t="str">
        <f>IF(AND('Mapa final'!$Y$45="Baja",'Mapa final'!$AA$45="Moderado"),CONCATENATE("R6C",'Mapa final'!$O$45),"")</f>
        <v/>
      </c>
      <c r="AB41" s="51" t="str">
        <f>IF(AND('Mapa final'!$Y$40="Baja",'Mapa final'!$AA$40="Mayor"),CONCATENATE("R6C",'Mapa final'!$O$40),"")</f>
        <v/>
      </c>
      <c r="AC41" s="52" t="str">
        <f>IF(AND('Mapa final'!$Y$41="Baja",'Mapa final'!$AA$41="Mayor"),CONCATENATE("R6C",'Mapa final'!$O$41),"")</f>
        <v/>
      </c>
      <c r="AD41" s="52" t="str">
        <f>IF(AND('Mapa final'!$Y$42="Baja",'Mapa final'!$AA$42="Mayor"),CONCATENATE("R6C",'Mapa final'!$O$42),"")</f>
        <v/>
      </c>
      <c r="AE41" s="52" t="str">
        <f>IF(AND('Mapa final'!$Y$43="Baja",'Mapa final'!$AA$43="Mayor"),CONCATENATE("R6C",'Mapa final'!$O$43),"")</f>
        <v/>
      </c>
      <c r="AF41" s="52" t="str">
        <f>IF(AND('Mapa final'!$Y$44="Baja",'Mapa final'!$AA$44="Mayor"),CONCATENATE("R6C",'Mapa final'!$O$44),"")</f>
        <v/>
      </c>
      <c r="AG41" s="53" t="str">
        <f>IF(AND('Mapa final'!$Y$45="Baja",'Mapa final'!$AA$45="Mayor"),CONCATENATE("R6C",'Mapa final'!$O$45),"")</f>
        <v/>
      </c>
      <c r="AH41" s="54" t="str">
        <f>IF(AND('Mapa final'!$Y$40="Baja",'Mapa final'!$AA$40="Catastrófico"),CONCATENATE("R6C",'Mapa final'!$O$40),"")</f>
        <v/>
      </c>
      <c r="AI41" s="55" t="str">
        <f>IF(AND('Mapa final'!$Y$41="Baja",'Mapa final'!$AA$41="Catastrófico"),CONCATENATE("R6C",'Mapa final'!$O$41),"")</f>
        <v/>
      </c>
      <c r="AJ41" s="55" t="str">
        <f>IF(AND('Mapa final'!$Y$42="Baja",'Mapa final'!$AA$42="Catastrófico"),CONCATENATE("R6C",'Mapa final'!$O$42),"")</f>
        <v/>
      </c>
      <c r="AK41" s="55" t="str">
        <f>IF(AND('Mapa final'!$Y$43="Baja",'Mapa final'!$AA$43="Catastrófico"),CONCATENATE("R6C",'Mapa final'!$O$43),"")</f>
        <v/>
      </c>
      <c r="AL41" s="55" t="str">
        <f>IF(AND('Mapa final'!$Y$44="Baja",'Mapa final'!$AA$44="Catastrófico"),CONCATENATE("R6C",'Mapa final'!$O$44),"")</f>
        <v/>
      </c>
      <c r="AM41" s="56" t="str">
        <f>IF(AND('Mapa final'!$Y$45="Baja",'Mapa final'!$AA$45="Catastrófico"),CONCATENATE("R6C",'Mapa final'!$O$45),"")</f>
        <v/>
      </c>
      <c r="AN41" s="82"/>
      <c r="AO41" s="401"/>
      <c r="AP41" s="402"/>
      <c r="AQ41" s="402"/>
      <c r="AR41" s="402"/>
      <c r="AS41" s="402"/>
      <c r="AT41" s="403"/>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282"/>
      <c r="C42" s="282"/>
      <c r="D42" s="283"/>
      <c r="E42" s="381"/>
      <c r="F42" s="380"/>
      <c r="G42" s="380"/>
      <c r="H42" s="380"/>
      <c r="I42" s="380"/>
      <c r="J42" s="75" t="str">
        <f>IF(AND('Mapa final'!$Y$46="Baja",'Mapa final'!$AA$46="Leve"),CONCATENATE("R7C",'Mapa final'!$O$46),"")</f>
        <v/>
      </c>
      <c r="K42" s="76" t="str">
        <f>IF(AND('Mapa final'!$Y$47="Baja",'Mapa final'!$AA$47="Leve"),CONCATENATE("R7C",'Mapa final'!$O$47),"")</f>
        <v/>
      </c>
      <c r="L42" s="76" t="str">
        <f>IF(AND('Mapa final'!$Y$48="Baja",'Mapa final'!$AA$48="Leve"),CONCATENATE("R7C",'Mapa final'!$O$48),"")</f>
        <v/>
      </c>
      <c r="M42" s="76" t="str">
        <f>IF(AND('Mapa final'!$Y$49="Baja",'Mapa final'!$AA$49="Leve"),CONCATENATE("R7C",'Mapa final'!$O$49),"")</f>
        <v/>
      </c>
      <c r="N42" s="76" t="str">
        <f>IF(AND('Mapa final'!$Y$50="Baja",'Mapa final'!$AA$50="Leve"),CONCATENATE("R7C",'Mapa final'!$O$50),"")</f>
        <v/>
      </c>
      <c r="O42" s="77" t="str">
        <f>IF(AND('Mapa final'!$Y$51="Baja",'Mapa final'!$AA$51="Leve"),CONCATENATE("R7C",'Mapa final'!$O$51),"")</f>
        <v/>
      </c>
      <c r="P42" s="66" t="str">
        <f>IF(AND('Mapa final'!$Y$46="Baja",'Mapa final'!$AA$46="Menor"),CONCATENATE("R7C",'Mapa final'!$O$46),"")</f>
        <v/>
      </c>
      <c r="Q42" s="67" t="str">
        <f>IF(AND('Mapa final'!$Y$47="Baja",'Mapa final'!$AA$47="Menor"),CONCATENATE("R7C",'Mapa final'!$O$47),"")</f>
        <v/>
      </c>
      <c r="R42" s="67" t="str">
        <f>IF(AND('Mapa final'!$Y$48="Baja",'Mapa final'!$AA$48="Menor"),CONCATENATE("R7C",'Mapa final'!$O$48),"")</f>
        <v/>
      </c>
      <c r="S42" s="67" t="str">
        <f>IF(AND('Mapa final'!$Y$49="Baja",'Mapa final'!$AA$49="Menor"),CONCATENATE("R7C",'Mapa final'!$O$49),"")</f>
        <v/>
      </c>
      <c r="T42" s="67" t="str">
        <f>IF(AND('Mapa final'!$Y$50="Baja",'Mapa final'!$AA$50="Menor"),CONCATENATE("R7C",'Mapa final'!$O$50),"")</f>
        <v/>
      </c>
      <c r="U42" s="68" t="str">
        <f>IF(AND('Mapa final'!$Y$51="Baja",'Mapa final'!$AA$51="Menor"),CONCATENATE("R7C",'Mapa final'!$O$51),"")</f>
        <v/>
      </c>
      <c r="V42" s="66" t="str">
        <f>IF(AND('Mapa final'!$Y$46="Baja",'Mapa final'!$AA$46="Moderado"),CONCATENATE("R7C",'Mapa final'!$O$46),"")</f>
        <v/>
      </c>
      <c r="W42" s="67" t="str">
        <f>IF(AND('Mapa final'!$Y$47="Baja",'Mapa final'!$AA$47="Moderado"),CONCATENATE("R7C",'Mapa final'!$O$47),"")</f>
        <v/>
      </c>
      <c r="X42" s="67" t="str">
        <f>IF(AND('Mapa final'!$Y$48="Baja",'Mapa final'!$AA$48="Moderado"),CONCATENATE("R7C",'Mapa final'!$O$48),"")</f>
        <v/>
      </c>
      <c r="Y42" s="67" t="str">
        <f>IF(AND('Mapa final'!$Y$49="Baja",'Mapa final'!$AA$49="Moderado"),CONCATENATE("R7C",'Mapa final'!$O$49),"")</f>
        <v/>
      </c>
      <c r="Z42" s="67" t="str">
        <f>IF(AND('Mapa final'!$Y$50="Baja",'Mapa final'!$AA$50="Moderado"),CONCATENATE("R7C",'Mapa final'!$O$50),"")</f>
        <v/>
      </c>
      <c r="AA42" s="68" t="str">
        <f>IF(AND('Mapa final'!$Y$51="Baja",'Mapa final'!$AA$51="Moderado"),CONCATENATE("R7C",'Mapa final'!$O$51),"")</f>
        <v/>
      </c>
      <c r="AB42" s="51" t="str">
        <f>IF(AND('Mapa final'!$Y$46="Baja",'Mapa final'!$AA$46="Mayor"),CONCATENATE("R7C",'Mapa final'!$O$46),"")</f>
        <v/>
      </c>
      <c r="AC42" s="52" t="str">
        <f>IF(AND('Mapa final'!$Y$47="Baja",'Mapa final'!$AA$47="Mayor"),CONCATENATE("R7C",'Mapa final'!$O$47),"")</f>
        <v/>
      </c>
      <c r="AD42" s="52" t="str">
        <f>IF(AND('Mapa final'!$Y$48="Baja",'Mapa final'!$AA$48="Mayor"),CONCATENATE("R7C",'Mapa final'!$O$48),"")</f>
        <v/>
      </c>
      <c r="AE42" s="52" t="str">
        <f>IF(AND('Mapa final'!$Y$49="Baja",'Mapa final'!$AA$49="Mayor"),CONCATENATE("R7C",'Mapa final'!$O$49),"")</f>
        <v/>
      </c>
      <c r="AF42" s="52" t="str">
        <f>IF(AND('Mapa final'!$Y$50="Baja",'Mapa final'!$AA$50="Mayor"),CONCATENATE("R7C",'Mapa final'!$O$50),"")</f>
        <v/>
      </c>
      <c r="AG42" s="53" t="str">
        <f>IF(AND('Mapa final'!$Y$51="Baja",'Mapa final'!$AA$51="Mayor"),CONCATENATE("R7C",'Mapa final'!$O$51),"")</f>
        <v/>
      </c>
      <c r="AH42" s="54" t="str">
        <f>IF(AND('Mapa final'!$Y$46="Baja",'Mapa final'!$AA$46="Catastrófico"),CONCATENATE("R7C",'Mapa final'!$O$46),"")</f>
        <v/>
      </c>
      <c r="AI42" s="55" t="str">
        <f>IF(AND('Mapa final'!$Y$47="Baja",'Mapa final'!$AA$47="Catastrófico"),CONCATENATE("R7C",'Mapa final'!$O$47),"")</f>
        <v/>
      </c>
      <c r="AJ42" s="55" t="str">
        <f>IF(AND('Mapa final'!$Y$48="Baja",'Mapa final'!$AA$48="Catastrófico"),CONCATENATE("R7C",'Mapa final'!$O$48),"")</f>
        <v/>
      </c>
      <c r="AK42" s="55" t="str">
        <f>IF(AND('Mapa final'!$Y$49="Baja",'Mapa final'!$AA$49="Catastrófico"),CONCATENATE("R7C",'Mapa final'!$O$49),"")</f>
        <v/>
      </c>
      <c r="AL42" s="55" t="str">
        <f>IF(AND('Mapa final'!$Y$50="Baja",'Mapa final'!$AA$50="Catastrófico"),CONCATENATE("R7C",'Mapa final'!$O$50),"")</f>
        <v/>
      </c>
      <c r="AM42" s="56" t="str">
        <f>IF(AND('Mapa final'!$Y$51="Baja",'Mapa final'!$AA$51="Catastrófico"),CONCATENATE("R7C",'Mapa final'!$O$51),"")</f>
        <v/>
      </c>
      <c r="AN42" s="82"/>
      <c r="AO42" s="401"/>
      <c r="AP42" s="402"/>
      <c r="AQ42" s="402"/>
      <c r="AR42" s="402"/>
      <c r="AS42" s="402"/>
      <c r="AT42" s="403"/>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282"/>
      <c r="C43" s="282"/>
      <c r="D43" s="283"/>
      <c r="E43" s="381"/>
      <c r="F43" s="380"/>
      <c r="G43" s="380"/>
      <c r="H43" s="380"/>
      <c r="I43" s="380"/>
      <c r="J43" s="75" t="str">
        <f>IF(AND('Mapa final'!$Y$52="Baja",'Mapa final'!$AA$52="Leve"),CONCATENATE("R8C",'Mapa final'!$O$52),"")</f>
        <v/>
      </c>
      <c r="K43" s="76" t="str">
        <f>IF(AND('Mapa final'!$Y$53="Baja",'Mapa final'!$AA$53="Leve"),CONCATENATE("R8C",'Mapa final'!$O$53),"")</f>
        <v/>
      </c>
      <c r="L43" s="76" t="str">
        <f>IF(AND('Mapa final'!$Y$54="Baja",'Mapa final'!$AA$54="Leve"),CONCATENATE("R8C",'Mapa final'!$O$54),"")</f>
        <v/>
      </c>
      <c r="M43" s="76" t="str">
        <f>IF(AND('Mapa final'!$Y$55="Baja",'Mapa final'!$AA$55="Leve"),CONCATENATE("R8C",'Mapa final'!$O$55),"")</f>
        <v/>
      </c>
      <c r="N43" s="76" t="str">
        <f>IF(AND('Mapa final'!$Y$56="Baja",'Mapa final'!$AA$56="Leve"),CONCATENATE("R8C",'Mapa final'!$O$56),"")</f>
        <v/>
      </c>
      <c r="O43" s="77" t="str">
        <f>IF(AND('Mapa final'!$Y$57="Baja",'Mapa final'!$AA$57="Leve"),CONCATENATE("R8C",'Mapa final'!$O$57),"")</f>
        <v/>
      </c>
      <c r="P43" s="66" t="str">
        <f>IF(AND('Mapa final'!$Y$52="Baja",'Mapa final'!$AA$52="Menor"),CONCATENATE("R8C",'Mapa final'!$O$52),"")</f>
        <v/>
      </c>
      <c r="Q43" s="67" t="str">
        <f>IF(AND('Mapa final'!$Y$53="Baja",'Mapa final'!$AA$53="Menor"),CONCATENATE("R8C",'Mapa final'!$O$53),"")</f>
        <v/>
      </c>
      <c r="R43" s="67" t="str">
        <f>IF(AND('Mapa final'!$Y$54="Baja",'Mapa final'!$AA$54="Menor"),CONCATENATE("R8C",'Mapa final'!$O$54),"")</f>
        <v/>
      </c>
      <c r="S43" s="67" t="str">
        <f>IF(AND('Mapa final'!$Y$55="Baja",'Mapa final'!$AA$55="Menor"),CONCATENATE("R8C",'Mapa final'!$O$55),"")</f>
        <v/>
      </c>
      <c r="T43" s="67" t="str">
        <f>IF(AND('Mapa final'!$Y$56="Baja",'Mapa final'!$AA$56="Menor"),CONCATENATE("R8C",'Mapa final'!$O$56),"")</f>
        <v/>
      </c>
      <c r="U43" s="68" t="str">
        <f>IF(AND('Mapa final'!$Y$57="Baja",'Mapa final'!$AA$57="Menor"),CONCATENATE("R8C",'Mapa final'!$O$57),"")</f>
        <v/>
      </c>
      <c r="V43" s="66" t="str">
        <f>IF(AND('Mapa final'!$Y$52="Baja",'Mapa final'!$AA$52="Moderado"),CONCATENATE("R8C",'Mapa final'!$O$52),"")</f>
        <v/>
      </c>
      <c r="W43" s="67" t="str">
        <f>IF(AND('Mapa final'!$Y$53="Baja",'Mapa final'!$AA$53="Moderado"),CONCATENATE("R8C",'Mapa final'!$O$53),"")</f>
        <v/>
      </c>
      <c r="X43" s="67" t="str">
        <f>IF(AND('Mapa final'!$Y$54="Baja",'Mapa final'!$AA$54="Moderado"),CONCATENATE("R8C",'Mapa final'!$O$54),"")</f>
        <v/>
      </c>
      <c r="Y43" s="67" t="str">
        <f>IF(AND('Mapa final'!$Y$55="Baja",'Mapa final'!$AA$55="Moderado"),CONCATENATE("R8C",'Mapa final'!$O$55),"")</f>
        <v/>
      </c>
      <c r="Z43" s="67" t="str">
        <f>IF(AND('Mapa final'!$Y$56="Baja",'Mapa final'!$AA$56="Moderado"),CONCATENATE("R8C",'Mapa final'!$O$56),"")</f>
        <v/>
      </c>
      <c r="AA43" s="68" t="str">
        <f>IF(AND('Mapa final'!$Y$57="Baja",'Mapa final'!$AA$57="Moderado"),CONCATENATE("R8C",'Mapa final'!$O$57),"")</f>
        <v/>
      </c>
      <c r="AB43" s="51" t="str">
        <f>IF(AND('Mapa final'!$Y$52="Baja",'Mapa final'!$AA$52="Mayor"),CONCATENATE("R8C",'Mapa final'!$O$52),"")</f>
        <v/>
      </c>
      <c r="AC43" s="52" t="str">
        <f>IF(AND('Mapa final'!$Y$53="Baja",'Mapa final'!$AA$53="Mayor"),CONCATENATE("R8C",'Mapa final'!$O$53),"")</f>
        <v/>
      </c>
      <c r="AD43" s="52" t="str">
        <f>IF(AND('Mapa final'!$Y$54="Baja",'Mapa final'!$AA$54="Mayor"),CONCATENATE("R8C",'Mapa final'!$O$54),"")</f>
        <v/>
      </c>
      <c r="AE43" s="52" t="str">
        <f>IF(AND('Mapa final'!$Y$55="Baja",'Mapa final'!$AA$55="Mayor"),CONCATENATE("R8C",'Mapa final'!$O$55),"")</f>
        <v/>
      </c>
      <c r="AF43" s="52" t="str">
        <f>IF(AND('Mapa final'!$Y$56="Baja",'Mapa final'!$AA$56="Mayor"),CONCATENATE("R8C",'Mapa final'!$O$56),"")</f>
        <v/>
      </c>
      <c r="AG43" s="53" t="str">
        <f>IF(AND('Mapa final'!$Y$57="Baja",'Mapa final'!$AA$57="Mayor"),CONCATENATE("R8C",'Mapa final'!$O$57),"")</f>
        <v/>
      </c>
      <c r="AH43" s="54" t="str">
        <f>IF(AND('Mapa final'!$Y$52="Baja",'Mapa final'!$AA$52="Catastrófico"),CONCATENATE("R8C",'Mapa final'!$O$52),"")</f>
        <v/>
      </c>
      <c r="AI43" s="55" t="str">
        <f>IF(AND('Mapa final'!$Y$53="Baja",'Mapa final'!$AA$53="Catastrófico"),CONCATENATE("R8C",'Mapa final'!$O$53),"")</f>
        <v/>
      </c>
      <c r="AJ43" s="55" t="str">
        <f>IF(AND('Mapa final'!$Y$54="Baja",'Mapa final'!$AA$54="Catastrófico"),CONCATENATE("R8C",'Mapa final'!$O$54),"")</f>
        <v/>
      </c>
      <c r="AK43" s="55" t="str">
        <f>IF(AND('Mapa final'!$Y$55="Baja",'Mapa final'!$AA$55="Catastrófico"),CONCATENATE("R8C",'Mapa final'!$O$55),"")</f>
        <v/>
      </c>
      <c r="AL43" s="55" t="str">
        <f>IF(AND('Mapa final'!$Y$56="Baja",'Mapa final'!$AA$56="Catastrófico"),CONCATENATE("R8C",'Mapa final'!$O$56),"")</f>
        <v/>
      </c>
      <c r="AM43" s="56" t="str">
        <f>IF(AND('Mapa final'!$Y$57="Baja",'Mapa final'!$AA$57="Catastrófico"),CONCATENATE("R8C",'Mapa final'!$O$57),"")</f>
        <v/>
      </c>
      <c r="AN43" s="82"/>
      <c r="AO43" s="401"/>
      <c r="AP43" s="402"/>
      <c r="AQ43" s="402"/>
      <c r="AR43" s="402"/>
      <c r="AS43" s="402"/>
      <c r="AT43" s="403"/>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282"/>
      <c r="C44" s="282"/>
      <c r="D44" s="283"/>
      <c r="E44" s="381"/>
      <c r="F44" s="380"/>
      <c r="G44" s="380"/>
      <c r="H44" s="380"/>
      <c r="I44" s="380"/>
      <c r="J44" s="75" t="str">
        <f>IF(AND('Mapa final'!$Y$58="Baja",'Mapa final'!$AA$58="Leve"),CONCATENATE("R9C",'Mapa final'!$O$58),"")</f>
        <v/>
      </c>
      <c r="K44" s="76" t="str">
        <f>IF(AND('Mapa final'!$Y$59="Baja",'Mapa final'!$AA$59="Leve"),CONCATENATE("R9C",'Mapa final'!$O$59),"")</f>
        <v/>
      </c>
      <c r="L44" s="76" t="str">
        <f>IF(AND('Mapa final'!$Y$60="Baja",'Mapa final'!$AA$60="Leve"),CONCATENATE("R9C",'Mapa final'!$O$60),"")</f>
        <v/>
      </c>
      <c r="M44" s="76" t="str">
        <f>IF(AND('Mapa final'!$Y$61="Baja",'Mapa final'!$AA$61="Leve"),CONCATENATE("R9C",'Mapa final'!$O$61),"")</f>
        <v/>
      </c>
      <c r="N44" s="76" t="str">
        <f>IF(AND('Mapa final'!$Y$62="Baja",'Mapa final'!$AA$62="Leve"),CONCATENATE("R9C",'Mapa final'!$O$62),"")</f>
        <v/>
      </c>
      <c r="O44" s="77" t="str">
        <f>IF(AND('Mapa final'!$Y$63="Baja",'Mapa final'!$AA$63="Leve"),CONCATENATE("R9C",'Mapa final'!$O$63),"")</f>
        <v/>
      </c>
      <c r="P44" s="66" t="str">
        <f>IF(AND('Mapa final'!$Y$58="Baja",'Mapa final'!$AA$58="Menor"),CONCATENATE("R9C",'Mapa final'!$O$58),"")</f>
        <v/>
      </c>
      <c r="Q44" s="67" t="str">
        <f>IF(AND('Mapa final'!$Y$59="Baja",'Mapa final'!$AA$59="Menor"),CONCATENATE("R9C",'Mapa final'!$O$59),"")</f>
        <v/>
      </c>
      <c r="R44" s="67" t="str">
        <f>IF(AND('Mapa final'!$Y$60="Baja",'Mapa final'!$AA$60="Menor"),CONCATENATE("R9C",'Mapa final'!$O$60),"")</f>
        <v/>
      </c>
      <c r="S44" s="67" t="str">
        <f>IF(AND('Mapa final'!$Y$61="Baja",'Mapa final'!$AA$61="Menor"),CONCATENATE("R9C",'Mapa final'!$O$61),"")</f>
        <v/>
      </c>
      <c r="T44" s="67" t="str">
        <f>IF(AND('Mapa final'!$Y$62="Baja",'Mapa final'!$AA$62="Menor"),CONCATENATE("R9C",'Mapa final'!$O$62),"")</f>
        <v/>
      </c>
      <c r="U44" s="68" t="str">
        <f>IF(AND('Mapa final'!$Y$63="Baja",'Mapa final'!$AA$63="Menor"),CONCATENATE("R9C",'Mapa final'!$O$63),"")</f>
        <v/>
      </c>
      <c r="V44" s="66" t="str">
        <f>IF(AND('Mapa final'!$Y$58="Baja",'Mapa final'!$AA$58="Moderado"),CONCATENATE("R9C",'Mapa final'!$O$58),"")</f>
        <v/>
      </c>
      <c r="W44" s="67" t="str">
        <f>IF(AND('Mapa final'!$Y$59="Baja",'Mapa final'!$AA$59="Moderado"),CONCATENATE("R9C",'Mapa final'!$O$59),"")</f>
        <v/>
      </c>
      <c r="X44" s="67" t="str">
        <f>IF(AND('Mapa final'!$Y$60="Baja",'Mapa final'!$AA$60="Moderado"),CONCATENATE("R9C",'Mapa final'!$O$60),"")</f>
        <v/>
      </c>
      <c r="Y44" s="67" t="str">
        <f>IF(AND('Mapa final'!$Y$61="Baja",'Mapa final'!$AA$61="Moderado"),CONCATENATE("R9C",'Mapa final'!$O$61),"")</f>
        <v/>
      </c>
      <c r="Z44" s="67" t="str">
        <f>IF(AND('Mapa final'!$Y$62="Baja",'Mapa final'!$AA$62="Moderado"),CONCATENATE("R9C",'Mapa final'!$O$62),"")</f>
        <v/>
      </c>
      <c r="AA44" s="68" t="str">
        <f>IF(AND('Mapa final'!$Y$63="Baja",'Mapa final'!$AA$63="Moderado"),CONCATENATE("R9C",'Mapa final'!$O$63),"")</f>
        <v/>
      </c>
      <c r="AB44" s="51" t="str">
        <f>IF(AND('Mapa final'!$Y$58="Baja",'Mapa final'!$AA$58="Mayor"),CONCATENATE("R9C",'Mapa final'!$O$58),"")</f>
        <v/>
      </c>
      <c r="AC44" s="52" t="str">
        <f>IF(AND('Mapa final'!$Y$59="Baja",'Mapa final'!$AA$59="Mayor"),CONCATENATE("R9C",'Mapa final'!$O$59),"")</f>
        <v/>
      </c>
      <c r="AD44" s="52" t="str">
        <f>IF(AND('Mapa final'!$Y$60="Baja",'Mapa final'!$AA$60="Mayor"),CONCATENATE("R9C",'Mapa final'!$O$60),"")</f>
        <v/>
      </c>
      <c r="AE44" s="52" t="str">
        <f>IF(AND('Mapa final'!$Y$61="Baja",'Mapa final'!$AA$61="Mayor"),CONCATENATE("R9C",'Mapa final'!$O$61),"")</f>
        <v/>
      </c>
      <c r="AF44" s="52" t="str">
        <f>IF(AND('Mapa final'!$Y$62="Baja",'Mapa final'!$AA$62="Mayor"),CONCATENATE("R9C",'Mapa final'!$O$62),"")</f>
        <v/>
      </c>
      <c r="AG44" s="53" t="str">
        <f>IF(AND('Mapa final'!$Y$63="Baja",'Mapa final'!$AA$63="Mayor"),CONCATENATE("R9C",'Mapa final'!$O$63),"")</f>
        <v/>
      </c>
      <c r="AH44" s="54" t="str">
        <f>IF(AND('Mapa final'!$Y$58="Baja",'Mapa final'!$AA$58="Catastrófico"),CONCATENATE("R9C",'Mapa final'!$O$58),"")</f>
        <v/>
      </c>
      <c r="AI44" s="55" t="str">
        <f>IF(AND('Mapa final'!$Y$59="Baja",'Mapa final'!$AA$59="Catastrófico"),CONCATENATE("R9C",'Mapa final'!$O$59),"")</f>
        <v/>
      </c>
      <c r="AJ44" s="55" t="str">
        <f>IF(AND('Mapa final'!$Y$60="Baja",'Mapa final'!$AA$60="Catastrófico"),CONCATENATE("R9C",'Mapa final'!$O$60),"")</f>
        <v/>
      </c>
      <c r="AK44" s="55" t="str">
        <f>IF(AND('Mapa final'!$Y$61="Baja",'Mapa final'!$AA$61="Catastrófico"),CONCATENATE("R9C",'Mapa final'!$O$61),"")</f>
        <v/>
      </c>
      <c r="AL44" s="55" t="str">
        <f>IF(AND('Mapa final'!$Y$62="Baja",'Mapa final'!$AA$62="Catastrófico"),CONCATENATE("R9C",'Mapa final'!$O$62),"")</f>
        <v/>
      </c>
      <c r="AM44" s="56" t="str">
        <f>IF(AND('Mapa final'!$Y$63="Baja",'Mapa final'!$AA$63="Catastrófico"),CONCATENATE("R9C",'Mapa final'!$O$63),"")</f>
        <v/>
      </c>
      <c r="AN44" s="82"/>
      <c r="AO44" s="401"/>
      <c r="AP44" s="402"/>
      <c r="AQ44" s="402"/>
      <c r="AR44" s="402"/>
      <c r="AS44" s="402"/>
      <c r="AT44" s="403"/>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282"/>
      <c r="C45" s="282"/>
      <c r="D45" s="283"/>
      <c r="E45" s="382"/>
      <c r="F45" s="383"/>
      <c r="G45" s="383"/>
      <c r="H45" s="383"/>
      <c r="I45" s="383"/>
      <c r="J45" s="78" t="str">
        <f>IF(AND('Mapa final'!$Y$64="Baja",'Mapa final'!$AA$64="Leve"),CONCATENATE("R10C",'Mapa final'!$O$64),"")</f>
        <v/>
      </c>
      <c r="K45" s="79" t="str">
        <f>IF(AND('Mapa final'!$Y$65="Baja",'Mapa final'!$AA$65="Leve"),CONCATENATE("R10C",'Mapa final'!$O$65),"")</f>
        <v/>
      </c>
      <c r="L45" s="79" t="str">
        <f>IF(AND('Mapa final'!$Y$66="Baja",'Mapa final'!$AA$66="Leve"),CONCATENATE("R10C",'Mapa final'!$O$66),"")</f>
        <v/>
      </c>
      <c r="M45" s="79" t="str">
        <f>IF(AND('Mapa final'!$Y$67="Baja",'Mapa final'!$AA$67="Leve"),CONCATENATE("R10C",'Mapa final'!$O$67),"")</f>
        <v/>
      </c>
      <c r="N45" s="79" t="str">
        <f>IF(AND('Mapa final'!$Y$68="Baja",'Mapa final'!$AA$68="Leve"),CONCATENATE("R10C",'Mapa final'!$O$68),"")</f>
        <v/>
      </c>
      <c r="O45" s="80" t="str">
        <f>IF(AND('Mapa final'!$Y$69="Baja",'Mapa final'!$AA$69="Leve"),CONCATENATE("R10C",'Mapa final'!$O$69),"")</f>
        <v/>
      </c>
      <c r="P45" s="66" t="str">
        <f>IF(AND('Mapa final'!$Y$64="Baja",'Mapa final'!$AA$64="Menor"),CONCATENATE("R10C",'Mapa final'!$O$64),"")</f>
        <v/>
      </c>
      <c r="Q45" s="67" t="str">
        <f>IF(AND('Mapa final'!$Y$65="Baja",'Mapa final'!$AA$65="Menor"),CONCATENATE("R10C",'Mapa final'!$O$65),"")</f>
        <v/>
      </c>
      <c r="R45" s="67" t="str">
        <f>IF(AND('Mapa final'!$Y$66="Baja",'Mapa final'!$AA$66="Menor"),CONCATENATE("R10C",'Mapa final'!$O$66),"")</f>
        <v/>
      </c>
      <c r="S45" s="67" t="str">
        <f>IF(AND('Mapa final'!$Y$67="Baja",'Mapa final'!$AA$67="Menor"),CONCATENATE("R10C",'Mapa final'!$O$67),"")</f>
        <v/>
      </c>
      <c r="T45" s="67" t="str">
        <f>IF(AND('Mapa final'!$Y$68="Baja",'Mapa final'!$AA$68="Menor"),CONCATENATE("R10C",'Mapa final'!$O$68),"")</f>
        <v/>
      </c>
      <c r="U45" s="68" t="str">
        <f>IF(AND('Mapa final'!$Y$69="Baja",'Mapa final'!$AA$69="Menor"),CONCATENATE("R10C",'Mapa final'!$O$69),"")</f>
        <v/>
      </c>
      <c r="V45" s="69" t="str">
        <f>IF(AND('Mapa final'!$Y$64="Baja",'Mapa final'!$AA$64="Moderado"),CONCATENATE("R10C",'Mapa final'!$O$64),"")</f>
        <v/>
      </c>
      <c r="W45" s="70" t="str">
        <f>IF(AND('Mapa final'!$Y$65="Baja",'Mapa final'!$AA$65="Moderado"),CONCATENATE("R10C",'Mapa final'!$O$65),"")</f>
        <v/>
      </c>
      <c r="X45" s="70" t="str">
        <f>IF(AND('Mapa final'!$Y$66="Baja",'Mapa final'!$AA$66="Moderado"),CONCATENATE("R10C",'Mapa final'!$O$66),"")</f>
        <v/>
      </c>
      <c r="Y45" s="70" t="str">
        <f>IF(AND('Mapa final'!$Y$67="Baja",'Mapa final'!$AA$67="Moderado"),CONCATENATE("R10C",'Mapa final'!$O$67),"")</f>
        <v/>
      </c>
      <c r="Z45" s="70" t="str">
        <f>IF(AND('Mapa final'!$Y$68="Baja",'Mapa final'!$AA$68="Moderado"),CONCATENATE("R10C",'Mapa final'!$O$68),"")</f>
        <v/>
      </c>
      <c r="AA45" s="71" t="str">
        <f>IF(AND('Mapa final'!$Y$69="Baja",'Mapa final'!$AA$69="Moderado"),CONCATENATE("R10C",'Mapa final'!$O$69),"")</f>
        <v/>
      </c>
      <c r="AB45" s="57" t="str">
        <f>IF(AND('Mapa final'!$Y$64="Baja",'Mapa final'!$AA$64="Mayor"),CONCATENATE("R10C",'Mapa final'!$O$64),"")</f>
        <v/>
      </c>
      <c r="AC45" s="58" t="str">
        <f>IF(AND('Mapa final'!$Y$65="Baja",'Mapa final'!$AA$65="Mayor"),CONCATENATE("R10C",'Mapa final'!$O$65),"")</f>
        <v/>
      </c>
      <c r="AD45" s="58" t="str">
        <f>IF(AND('Mapa final'!$Y$66="Baja",'Mapa final'!$AA$66="Mayor"),CONCATENATE("R10C",'Mapa final'!$O$66),"")</f>
        <v/>
      </c>
      <c r="AE45" s="58" t="str">
        <f>IF(AND('Mapa final'!$Y$67="Baja",'Mapa final'!$AA$67="Mayor"),CONCATENATE("R10C",'Mapa final'!$O$67),"")</f>
        <v/>
      </c>
      <c r="AF45" s="58" t="str">
        <f>IF(AND('Mapa final'!$Y$68="Baja",'Mapa final'!$AA$68="Mayor"),CONCATENATE("R10C",'Mapa final'!$O$68),"")</f>
        <v/>
      </c>
      <c r="AG45" s="59" t="str">
        <f>IF(AND('Mapa final'!$Y$69="Baja",'Mapa final'!$AA$69="Mayor"),CONCATENATE("R10C",'Mapa final'!$O$69),"")</f>
        <v/>
      </c>
      <c r="AH45" s="60" t="str">
        <f>IF(AND('Mapa final'!$Y$64="Baja",'Mapa final'!$AA$64="Catastrófico"),CONCATENATE("R10C",'Mapa final'!$O$64),"")</f>
        <v/>
      </c>
      <c r="AI45" s="61" t="str">
        <f>IF(AND('Mapa final'!$Y$65="Baja",'Mapa final'!$AA$65="Catastrófico"),CONCATENATE("R10C",'Mapa final'!$O$65),"")</f>
        <v/>
      </c>
      <c r="AJ45" s="61" t="str">
        <f>IF(AND('Mapa final'!$Y$66="Baja",'Mapa final'!$AA$66="Catastrófico"),CONCATENATE("R10C",'Mapa final'!$O$66),"")</f>
        <v/>
      </c>
      <c r="AK45" s="61" t="str">
        <f>IF(AND('Mapa final'!$Y$67="Baja",'Mapa final'!$AA$67="Catastrófico"),CONCATENATE("R10C",'Mapa final'!$O$67),"")</f>
        <v/>
      </c>
      <c r="AL45" s="61" t="str">
        <f>IF(AND('Mapa final'!$Y$68="Baja",'Mapa final'!$AA$68="Catastrófico"),CONCATENATE("R10C",'Mapa final'!$O$68),"")</f>
        <v/>
      </c>
      <c r="AM45" s="62" t="str">
        <f>IF(AND('Mapa final'!$Y$69="Baja",'Mapa final'!$AA$69="Catastrófico"),CONCATENATE("R10C",'Mapa final'!$O$69),"")</f>
        <v/>
      </c>
      <c r="AN45" s="82"/>
      <c r="AO45" s="404"/>
      <c r="AP45" s="405"/>
      <c r="AQ45" s="405"/>
      <c r="AR45" s="405"/>
      <c r="AS45" s="405"/>
      <c r="AT45" s="406"/>
    </row>
    <row r="46" spans="1:80" ht="46.5" customHeight="1" x14ac:dyDescent="0.35">
      <c r="A46" s="82"/>
      <c r="B46" s="282"/>
      <c r="C46" s="282"/>
      <c r="D46" s="283"/>
      <c r="E46" s="377" t="s">
        <v>112</v>
      </c>
      <c r="F46" s="378"/>
      <c r="G46" s="378"/>
      <c r="H46" s="378"/>
      <c r="I46" s="395"/>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R1C2</v>
      </c>
      <c r="X46" s="64" t="str">
        <f>IF(AND('Mapa final'!$Y$12="Muy Baja",'Mapa final'!$AA$12="Moderado"),CONCATENATE("R1C",'Mapa final'!$O$12),"")</f>
        <v>R1C3</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282"/>
      <c r="C47" s="282"/>
      <c r="D47" s="283"/>
      <c r="E47" s="379"/>
      <c r="F47" s="380"/>
      <c r="G47" s="380"/>
      <c r="H47" s="380"/>
      <c r="I47" s="396"/>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282"/>
      <c r="C48" s="282"/>
      <c r="D48" s="283"/>
      <c r="E48" s="379"/>
      <c r="F48" s="380"/>
      <c r="G48" s="380"/>
      <c r="H48" s="380"/>
      <c r="I48" s="396"/>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R3C2</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282"/>
      <c r="C49" s="282"/>
      <c r="D49" s="283"/>
      <c r="E49" s="381"/>
      <c r="F49" s="380"/>
      <c r="G49" s="380"/>
      <c r="H49" s="380"/>
      <c r="I49" s="396"/>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282"/>
      <c r="C50" s="282"/>
      <c r="D50" s="283"/>
      <c r="E50" s="381"/>
      <c r="F50" s="380"/>
      <c r="G50" s="380"/>
      <c r="H50" s="380"/>
      <c r="I50" s="396"/>
      <c r="J50" s="75" t="str">
        <f>IF(AND('Mapa final'!$Y$34="Muy Baja",'Mapa final'!$AA$34="Leve"),CONCATENATE("R5C",'Mapa final'!$O$34),"")</f>
        <v/>
      </c>
      <c r="K50" s="76" t="str">
        <f>IF(AND('Mapa final'!$Y$35="Muy Baja",'Mapa final'!$AA$35="Leve"),CONCATENATE("R5C",'Mapa final'!$O$35),"")</f>
        <v/>
      </c>
      <c r="L50" s="76" t="str">
        <f>IF(AND('Mapa final'!$Y$36="Muy Baja",'Mapa final'!$AA$36="Leve"),CONCATENATE("R5C",'Mapa final'!$O$36),"")</f>
        <v/>
      </c>
      <c r="M50" s="76" t="str">
        <f>IF(AND('Mapa final'!$Y$37="Muy Baja",'Mapa final'!$AA$37="Leve"),CONCATENATE("R5C",'Mapa final'!$O$37),"")</f>
        <v/>
      </c>
      <c r="N50" s="76" t="str">
        <f>IF(AND('Mapa final'!$Y$38="Muy Baja",'Mapa final'!$AA$38="Leve"),CONCATENATE("R5C",'Mapa final'!$O$38),"")</f>
        <v/>
      </c>
      <c r="O50" s="77" t="str">
        <f>IF(AND('Mapa final'!$Y$39="Muy Baja",'Mapa final'!$AA$39="Leve"),CONCATENATE("R5C",'Mapa final'!$O$39),"")</f>
        <v/>
      </c>
      <c r="P50" s="75" t="str">
        <f>IF(AND('Mapa final'!$Y$34="Muy Baja",'Mapa final'!$AA$34="Menor"),CONCATENATE("R5C",'Mapa final'!$O$34),"")</f>
        <v/>
      </c>
      <c r="Q50" s="76" t="str">
        <f>IF(AND('Mapa final'!$Y$35="Muy Baja",'Mapa final'!$AA$35="Menor"),CONCATENATE("R5C",'Mapa final'!$O$35),"")</f>
        <v/>
      </c>
      <c r="R50" s="76" t="str">
        <f>IF(AND('Mapa final'!$Y$36="Muy Baja",'Mapa final'!$AA$36="Menor"),CONCATENATE("R5C",'Mapa final'!$O$36),"")</f>
        <v/>
      </c>
      <c r="S50" s="76" t="str">
        <f>IF(AND('Mapa final'!$Y$37="Muy Baja",'Mapa final'!$AA$37="Menor"),CONCATENATE("R5C",'Mapa final'!$O$37),"")</f>
        <v/>
      </c>
      <c r="T50" s="76" t="str">
        <f>IF(AND('Mapa final'!$Y$38="Muy Baja",'Mapa final'!$AA$38="Menor"),CONCATENATE("R5C",'Mapa final'!$O$38),"")</f>
        <v/>
      </c>
      <c r="U50" s="77" t="str">
        <f>IF(AND('Mapa final'!$Y$39="Muy Baja",'Mapa final'!$AA$39="Menor"),CONCATENATE("R5C",'Mapa final'!$O$39),"")</f>
        <v/>
      </c>
      <c r="V50" s="66" t="str">
        <f>IF(AND('Mapa final'!$Y$34="Muy Baja",'Mapa final'!$AA$34="Moderado"),CONCATENATE("R5C",'Mapa final'!$O$34),"")</f>
        <v/>
      </c>
      <c r="W50" s="67" t="str">
        <f>IF(AND('Mapa final'!$Y$35="Muy Baja",'Mapa final'!$AA$35="Moderado"),CONCATENATE("R5C",'Mapa final'!$O$35),"")</f>
        <v/>
      </c>
      <c r="X50" s="67" t="str">
        <f>IF(AND('Mapa final'!$Y$36="Muy Baja",'Mapa final'!$AA$36="Moderado"),CONCATENATE("R5C",'Mapa final'!$O$36),"")</f>
        <v/>
      </c>
      <c r="Y50" s="67" t="str">
        <f>IF(AND('Mapa final'!$Y$37="Muy Baja",'Mapa final'!$AA$37="Moderado"),CONCATENATE("R5C",'Mapa final'!$O$37),"")</f>
        <v/>
      </c>
      <c r="Z50" s="67" t="str">
        <f>IF(AND('Mapa final'!$Y$38="Muy Baja",'Mapa final'!$AA$38="Moderado"),CONCATENATE("R5C",'Mapa final'!$O$38),"")</f>
        <v/>
      </c>
      <c r="AA50" s="68" t="str">
        <f>IF(AND('Mapa final'!$Y$39="Muy Baja",'Mapa final'!$AA$39="Moderado"),CONCATENATE("R5C",'Mapa final'!$O$39),"")</f>
        <v/>
      </c>
      <c r="AB50" s="51" t="str">
        <f>IF(AND('Mapa final'!$Y$34="Muy Baja",'Mapa final'!$AA$34="Mayor"),CONCATENATE("R5C",'Mapa final'!$O$34),"")</f>
        <v/>
      </c>
      <c r="AC50" s="52" t="str">
        <f>IF(AND('Mapa final'!$Y$35="Muy Baja",'Mapa final'!$AA$35="Mayor"),CONCATENATE("R5C",'Mapa final'!$O$35),"")</f>
        <v/>
      </c>
      <c r="AD50" s="52" t="str">
        <f>IF(AND('Mapa final'!$Y$36="Muy Baja",'Mapa final'!$AA$36="Mayor"),CONCATENATE("R5C",'Mapa final'!$O$36),"")</f>
        <v/>
      </c>
      <c r="AE50" s="52" t="str">
        <f>IF(AND('Mapa final'!$Y$37="Muy Baja",'Mapa final'!$AA$37="Mayor"),CONCATENATE("R5C",'Mapa final'!$O$37),"")</f>
        <v/>
      </c>
      <c r="AF50" s="52" t="str">
        <f>IF(AND('Mapa final'!$Y$38="Muy Baja",'Mapa final'!$AA$38="Mayor"),CONCATENATE("R5C",'Mapa final'!$O$38),"")</f>
        <v/>
      </c>
      <c r="AG50" s="53" t="str">
        <f>IF(AND('Mapa final'!$Y$39="Muy Baja",'Mapa final'!$AA$39="Mayor"),CONCATENATE("R5C",'Mapa final'!$O$39),"")</f>
        <v/>
      </c>
      <c r="AH50" s="54" t="str">
        <f>IF(AND('Mapa final'!$Y$34="Muy Baja",'Mapa final'!$AA$34="Catastrófico"),CONCATENATE("R5C",'Mapa final'!$O$34),"")</f>
        <v/>
      </c>
      <c r="AI50" s="55" t="str">
        <f>IF(AND('Mapa final'!$Y$35="Muy Baja",'Mapa final'!$AA$35="Catastrófico"),CONCATENATE("R5C",'Mapa final'!$O$35),"")</f>
        <v/>
      </c>
      <c r="AJ50" s="55" t="str">
        <f>IF(AND('Mapa final'!$Y$36="Muy Baja",'Mapa final'!$AA$36="Catastrófico"),CONCATENATE("R5C",'Mapa final'!$O$36),"")</f>
        <v/>
      </c>
      <c r="AK50" s="55" t="str">
        <f>IF(AND('Mapa final'!$Y$37="Muy Baja",'Mapa final'!$AA$37="Catastrófico"),CONCATENATE("R5C",'Mapa final'!$O$37),"")</f>
        <v/>
      </c>
      <c r="AL50" s="55" t="str">
        <f>IF(AND('Mapa final'!$Y$38="Muy Baja",'Mapa final'!$AA$38="Catastrófico"),CONCATENATE("R5C",'Mapa final'!$O$38),"")</f>
        <v/>
      </c>
      <c r="AM50" s="56" t="str">
        <f>IF(AND('Mapa final'!$Y$39="Muy Baja",'Mapa final'!$AA$39="Catastrófico"),CONCATENATE("R5C",'Mapa final'!$O$39),"")</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282"/>
      <c r="C51" s="282"/>
      <c r="D51" s="283"/>
      <c r="E51" s="381"/>
      <c r="F51" s="380"/>
      <c r="G51" s="380"/>
      <c r="H51" s="380"/>
      <c r="I51" s="396"/>
      <c r="J51" s="75" t="str">
        <f>IF(AND('Mapa final'!$Y$40="Muy Baja",'Mapa final'!$AA$40="Leve"),CONCATENATE("R6C",'Mapa final'!$O$40),"")</f>
        <v/>
      </c>
      <c r="K51" s="76" t="str">
        <f>IF(AND('Mapa final'!$Y$41="Muy Baja",'Mapa final'!$AA$41="Leve"),CONCATENATE("R6C",'Mapa final'!$O$41),"")</f>
        <v/>
      </c>
      <c r="L51" s="76" t="str">
        <f>IF(AND('Mapa final'!$Y$42="Muy Baja",'Mapa final'!$AA$42="Leve"),CONCATENATE("R6C",'Mapa final'!$O$42),"")</f>
        <v/>
      </c>
      <c r="M51" s="76" t="str">
        <f>IF(AND('Mapa final'!$Y$43="Muy Baja",'Mapa final'!$AA$43="Leve"),CONCATENATE("R6C",'Mapa final'!$O$43),"")</f>
        <v/>
      </c>
      <c r="N51" s="76" t="str">
        <f>IF(AND('Mapa final'!$Y$44="Muy Baja",'Mapa final'!$AA$44="Leve"),CONCATENATE("R6C",'Mapa final'!$O$44),"")</f>
        <v/>
      </c>
      <c r="O51" s="77" t="str">
        <f>IF(AND('Mapa final'!$Y$45="Muy Baja",'Mapa final'!$AA$45="Leve"),CONCATENATE("R6C",'Mapa final'!$O$45),"")</f>
        <v/>
      </c>
      <c r="P51" s="75" t="str">
        <f>IF(AND('Mapa final'!$Y$40="Muy Baja",'Mapa final'!$AA$40="Menor"),CONCATENATE("R6C",'Mapa final'!$O$40),"")</f>
        <v/>
      </c>
      <c r="Q51" s="76" t="str">
        <f>IF(AND('Mapa final'!$Y$41="Muy Baja",'Mapa final'!$AA$41="Menor"),CONCATENATE("R6C",'Mapa final'!$O$41),"")</f>
        <v/>
      </c>
      <c r="R51" s="76" t="str">
        <f>IF(AND('Mapa final'!$Y$42="Muy Baja",'Mapa final'!$AA$42="Menor"),CONCATENATE("R6C",'Mapa final'!$O$42),"")</f>
        <v/>
      </c>
      <c r="S51" s="76" t="str">
        <f>IF(AND('Mapa final'!$Y$43="Muy Baja",'Mapa final'!$AA$43="Menor"),CONCATENATE("R6C",'Mapa final'!$O$43),"")</f>
        <v/>
      </c>
      <c r="T51" s="76" t="str">
        <f>IF(AND('Mapa final'!$Y$44="Muy Baja",'Mapa final'!$AA$44="Menor"),CONCATENATE("R6C",'Mapa final'!$O$44),"")</f>
        <v/>
      </c>
      <c r="U51" s="77" t="str">
        <f>IF(AND('Mapa final'!$Y$45="Muy Baja",'Mapa final'!$AA$45="Menor"),CONCATENATE("R6C",'Mapa final'!$O$45),"")</f>
        <v/>
      </c>
      <c r="V51" s="66" t="str">
        <f>IF(AND('Mapa final'!$Y$40="Muy Baja",'Mapa final'!$AA$40="Moderado"),CONCATENATE("R6C",'Mapa final'!$O$40),"")</f>
        <v/>
      </c>
      <c r="W51" s="67" t="str">
        <f>IF(AND('Mapa final'!$Y$41="Muy Baja",'Mapa final'!$AA$41="Moderado"),CONCATENATE("R6C",'Mapa final'!$O$41),"")</f>
        <v/>
      </c>
      <c r="X51" s="67" t="str">
        <f>IF(AND('Mapa final'!$Y$42="Muy Baja",'Mapa final'!$AA$42="Moderado"),CONCATENATE("R6C",'Mapa final'!$O$42),"")</f>
        <v/>
      </c>
      <c r="Y51" s="67" t="str">
        <f>IF(AND('Mapa final'!$Y$43="Muy Baja",'Mapa final'!$AA$43="Moderado"),CONCATENATE("R6C",'Mapa final'!$O$43),"")</f>
        <v/>
      </c>
      <c r="Z51" s="67" t="str">
        <f>IF(AND('Mapa final'!$Y$44="Muy Baja",'Mapa final'!$AA$44="Moderado"),CONCATENATE("R6C",'Mapa final'!$O$44),"")</f>
        <v/>
      </c>
      <c r="AA51" s="68" t="str">
        <f>IF(AND('Mapa final'!$Y$45="Muy Baja",'Mapa final'!$AA$45="Moderado"),CONCATENATE("R6C",'Mapa final'!$O$45),"")</f>
        <v/>
      </c>
      <c r="AB51" s="51" t="str">
        <f>IF(AND('Mapa final'!$Y$40="Muy Baja",'Mapa final'!$AA$40="Mayor"),CONCATENATE("R6C",'Mapa final'!$O$40),"")</f>
        <v/>
      </c>
      <c r="AC51" s="52" t="str">
        <f>IF(AND('Mapa final'!$Y$41="Muy Baja",'Mapa final'!$AA$41="Mayor"),CONCATENATE("R6C",'Mapa final'!$O$41),"")</f>
        <v/>
      </c>
      <c r="AD51" s="52" t="str">
        <f>IF(AND('Mapa final'!$Y$42="Muy Baja",'Mapa final'!$AA$42="Mayor"),CONCATENATE("R6C",'Mapa final'!$O$42),"")</f>
        <v/>
      </c>
      <c r="AE51" s="52" t="str">
        <f>IF(AND('Mapa final'!$Y$43="Muy Baja",'Mapa final'!$AA$43="Mayor"),CONCATENATE("R6C",'Mapa final'!$O$43),"")</f>
        <v/>
      </c>
      <c r="AF51" s="52" t="str">
        <f>IF(AND('Mapa final'!$Y$44="Muy Baja",'Mapa final'!$AA$44="Mayor"),CONCATENATE("R6C",'Mapa final'!$O$44),"")</f>
        <v/>
      </c>
      <c r="AG51" s="53" t="str">
        <f>IF(AND('Mapa final'!$Y$45="Muy Baja",'Mapa final'!$AA$45="Mayor"),CONCATENATE("R6C",'Mapa final'!$O$45),"")</f>
        <v/>
      </c>
      <c r="AH51" s="54" t="str">
        <f>IF(AND('Mapa final'!$Y$40="Muy Baja",'Mapa final'!$AA$40="Catastrófico"),CONCATENATE("R6C",'Mapa final'!$O$40),"")</f>
        <v/>
      </c>
      <c r="AI51" s="55" t="str">
        <f>IF(AND('Mapa final'!$Y$41="Muy Baja",'Mapa final'!$AA$41="Catastrófico"),CONCATENATE("R6C",'Mapa final'!$O$41),"")</f>
        <v/>
      </c>
      <c r="AJ51" s="55" t="str">
        <f>IF(AND('Mapa final'!$Y$42="Muy Baja",'Mapa final'!$AA$42="Catastrófico"),CONCATENATE("R6C",'Mapa final'!$O$42),"")</f>
        <v/>
      </c>
      <c r="AK51" s="55" t="str">
        <f>IF(AND('Mapa final'!$Y$43="Muy Baja",'Mapa final'!$AA$43="Catastrófico"),CONCATENATE("R6C",'Mapa final'!$O$43),"")</f>
        <v/>
      </c>
      <c r="AL51" s="55" t="str">
        <f>IF(AND('Mapa final'!$Y$44="Muy Baja",'Mapa final'!$AA$44="Catastrófico"),CONCATENATE("R6C",'Mapa final'!$O$44),"")</f>
        <v/>
      </c>
      <c r="AM51" s="56" t="str">
        <f>IF(AND('Mapa final'!$Y$45="Muy Baja",'Mapa final'!$AA$45="Catastrófico"),CONCATENATE("R6C",'Mapa final'!$O$45),"")</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282"/>
      <c r="C52" s="282"/>
      <c r="D52" s="283"/>
      <c r="E52" s="381"/>
      <c r="F52" s="380"/>
      <c r="G52" s="380"/>
      <c r="H52" s="380"/>
      <c r="I52" s="396"/>
      <c r="J52" s="75" t="str">
        <f>IF(AND('Mapa final'!$Y$46="Muy Baja",'Mapa final'!$AA$46="Leve"),CONCATENATE("R7C",'Mapa final'!$O$46),"")</f>
        <v/>
      </c>
      <c r="K52" s="76" t="str">
        <f>IF(AND('Mapa final'!$Y$47="Muy Baja",'Mapa final'!$AA$47="Leve"),CONCATENATE("R7C",'Mapa final'!$O$47),"")</f>
        <v/>
      </c>
      <c r="L52" s="76" t="str">
        <f>IF(AND('Mapa final'!$Y$48="Muy Baja",'Mapa final'!$AA$48="Leve"),CONCATENATE("R7C",'Mapa final'!$O$48),"")</f>
        <v/>
      </c>
      <c r="M52" s="76" t="str">
        <f>IF(AND('Mapa final'!$Y$49="Muy Baja",'Mapa final'!$AA$49="Leve"),CONCATENATE("R7C",'Mapa final'!$O$49),"")</f>
        <v/>
      </c>
      <c r="N52" s="76" t="str">
        <f>IF(AND('Mapa final'!$Y$50="Muy Baja",'Mapa final'!$AA$50="Leve"),CONCATENATE("R7C",'Mapa final'!$O$50),"")</f>
        <v/>
      </c>
      <c r="O52" s="77" t="str">
        <f>IF(AND('Mapa final'!$Y$51="Muy Baja",'Mapa final'!$AA$51="Leve"),CONCATENATE("R7C",'Mapa final'!$O$51),"")</f>
        <v/>
      </c>
      <c r="P52" s="75" t="str">
        <f>IF(AND('Mapa final'!$Y$46="Muy Baja",'Mapa final'!$AA$46="Menor"),CONCATENATE("R7C",'Mapa final'!$O$46),"")</f>
        <v/>
      </c>
      <c r="Q52" s="76" t="str">
        <f>IF(AND('Mapa final'!$Y$47="Muy Baja",'Mapa final'!$AA$47="Menor"),CONCATENATE("R7C",'Mapa final'!$O$47),"")</f>
        <v/>
      </c>
      <c r="R52" s="76" t="str">
        <f>IF(AND('Mapa final'!$Y$48="Muy Baja",'Mapa final'!$AA$48="Menor"),CONCATENATE("R7C",'Mapa final'!$O$48),"")</f>
        <v/>
      </c>
      <c r="S52" s="76" t="str">
        <f>IF(AND('Mapa final'!$Y$49="Muy Baja",'Mapa final'!$AA$49="Menor"),CONCATENATE("R7C",'Mapa final'!$O$49),"")</f>
        <v/>
      </c>
      <c r="T52" s="76" t="str">
        <f>IF(AND('Mapa final'!$Y$50="Muy Baja",'Mapa final'!$AA$50="Menor"),CONCATENATE("R7C",'Mapa final'!$O$50),"")</f>
        <v/>
      </c>
      <c r="U52" s="77" t="str">
        <f>IF(AND('Mapa final'!$Y$51="Muy Baja",'Mapa final'!$AA$51="Menor"),CONCATENATE("R7C",'Mapa final'!$O$51),"")</f>
        <v/>
      </c>
      <c r="V52" s="66" t="str">
        <f>IF(AND('Mapa final'!$Y$46="Muy Baja",'Mapa final'!$AA$46="Moderado"),CONCATENATE("R7C",'Mapa final'!$O$46),"")</f>
        <v/>
      </c>
      <c r="W52" s="67" t="str">
        <f>IF(AND('Mapa final'!$Y$47="Muy Baja",'Mapa final'!$AA$47="Moderado"),CONCATENATE("R7C",'Mapa final'!$O$47),"")</f>
        <v/>
      </c>
      <c r="X52" s="67" t="str">
        <f>IF(AND('Mapa final'!$Y$48="Muy Baja",'Mapa final'!$AA$48="Moderado"),CONCATENATE("R7C",'Mapa final'!$O$48),"")</f>
        <v/>
      </c>
      <c r="Y52" s="67" t="str">
        <f>IF(AND('Mapa final'!$Y$49="Muy Baja",'Mapa final'!$AA$49="Moderado"),CONCATENATE("R7C",'Mapa final'!$O$49),"")</f>
        <v/>
      </c>
      <c r="Z52" s="67" t="str">
        <f>IF(AND('Mapa final'!$Y$50="Muy Baja",'Mapa final'!$AA$50="Moderado"),CONCATENATE("R7C",'Mapa final'!$O$50),"")</f>
        <v/>
      </c>
      <c r="AA52" s="68" t="str">
        <f>IF(AND('Mapa final'!$Y$51="Muy Baja",'Mapa final'!$AA$51="Moderado"),CONCATENATE("R7C",'Mapa final'!$O$51),"")</f>
        <v/>
      </c>
      <c r="AB52" s="51" t="str">
        <f>IF(AND('Mapa final'!$Y$46="Muy Baja",'Mapa final'!$AA$46="Mayor"),CONCATENATE("R7C",'Mapa final'!$O$46),"")</f>
        <v/>
      </c>
      <c r="AC52" s="52" t="str">
        <f>IF(AND('Mapa final'!$Y$47="Muy Baja",'Mapa final'!$AA$47="Mayor"),CONCATENATE("R7C",'Mapa final'!$O$47),"")</f>
        <v/>
      </c>
      <c r="AD52" s="52" t="str">
        <f>IF(AND('Mapa final'!$Y$48="Muy Baja",'Mapa final'!$AA$48="Mayor"),CONCATENATE("R7C",'Mapa final'!$O$48),"")</f>
        <v/>
      </c>
      <c r="AE52" s="52" t="str">
        <f>IF(AND('Mapa final'!$Y$49="Muy Baja",'Mapa final'!$AA$49="Mayor"),CONCATENATE("R7C",'Mapa final'!$O$49),"")</f>
        <v/>
      </c>
      <c r="AF52" s="52" t="str">
        <f>IF(AND('Mapa final'!$Y$50="Muy Baja",'Mapa final'!$AA$50="Mayor"),CONCATENATE("R7C",'Mapa final'!$O$50),"")</f>
        <v/>
      </c>
      <c r="AG52" s="53" t="str">
        <f>IF(AND('Mapa final'!$Y$51="Muy Baja",'Mapa final'!$AA$51="Mayor"),CONCATENATE("R7C",'Mapa final'!$O$51),"")</f>
        <v/>
      </c>
      <c r="AH52" s="54" t="str">
        <f>IF(AND('Mapa final'!$Y$46="Muy Baja",'Mapa final'!$AA$46="Catastrófico"),CONCATENATE("R7C",'Mapa final'!$O$46),"")</f>
        <v/>
      </c>
      <c r="AI52" s="55" t="str">
        <f>IF(AND('Mapa final'!$Y$47="Muy Baja",'Mapa final'!$AA$47="Catastrófico"),CONCATENATE("R7C",'Mapa final'!$O$47),"")</f>
        <v/>
      </c>
      <c r="AJ52" s="55" t="str">
        <f>IF(AND('Mapa final'!$Y$48="Muy Baja",'Mapa final'!$AA$48="Catastrófico"),CONCATENATE("R7C",'Mapa final'!$O$48),"")</f>
        <v/>
      </c>
      <c r="AK52" s="55" t="str">
        <f>IF(AND('Mapa final'!$Y$49="Muy Baja",'Mapa final'!$AA$49="Catastrófico"),CONCATENATE("R7C",'Mapa final'!$O$49),"")</f>
        <v/>
      </c>
      <c r="AL52" s="55" t="str">
        <f>IF(AND('Mapa final'!$Y$50="Muy Baja",'Mapa final'!$AA$50="Catastrófico"),CONCATENATE("R7C",'Mapa final'!$O$50),"")</f>
        <v/>
      </c>
      <c r="AM52" s="56" t="str">
        <f>IF(AND('Mapa final'!$Y$51="Muy Baja",'Mapa final'!$AA$51="Catastrófico"),CONCATENATE("R7C",'Mapa final'!$O$51),"")</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282"/>
      <c r="C53" s="282"/>
      <c r="D53" s="283"/>
      <c r="E53" s="381"/>
      <c r="F53" s="380"/>
      <c r="G53" s="380"/>
      <c r="H53" s="380"/>
      <c r="I53" s="396"/>
      <c r="J53" s="75" t="str">
        <f>IF(AND('Mapa final'!$Y$52="Muy Baja",'Mapa final'!$AA$52="Leve"),CONCATENATE("R8C",'Mapa final'!$O$52),"")</f>
        <v/>
      </c>
      <c r="K53" s="76" t="str">
        <f>IF(AND('Mapa final'!$Y$53="Muy Baja",'Mapa final'!$AA$53="Leve"),CONCATENATE("R8C",'Mapa final'!$O$53),"")</f>
        <v/>
      </c>
      <c r="L53" s="76" t="str">
        <f>IF(AND('Mapa final'!$Y$54="Muy Baja",'Mapa final'!$AA$54="Leve"),CONCATENATE("R8C",'Mapa final'!$O$54),"")</f>
        <v/>
      </c>
      <c r="M53" s="76" t="str">
        <f>IF(AND('Mapa final'!$Y$55="Muy Baja",'Mapa final'!$AA$55="Leve"),CONCATENATE("R8C",'Mapa final'!$O$55),"")</f>
        <v/>
      </c>
      <c r="N53" s="76" t="str">
        <f>IF(AND('Mapa final'!$Y$56="Muy Baja",'Mapa final'!$AA$56="Leve"),CONCATENATE("R8C",'Mapa final'!$O$56),"")</f>
        <v/>
      </c>
      <c r="O53" s="77" t="str">
        <f>IF(AND('Mapa final'!$Y$57="Muy Baja",'Mapa final'!$AA$57="Leve"),CONCATENATE("R8C",'Mapa final'!$O$57),"")</f>
        <v/>
      </c>
      <c r="P53" s="75" t="str">
        <f>IF(AND('Mapa final'!$Y$52="Muy Baja",'Mapa final'!$AA$52="Menor"),CONCATENATE("R8C",'Mapa final'!$O$52),"")</f>
        <v/>
      </c>
      <c r="Q53" s="76" t="str">
        <f>IF(AND('Mapa final'!$Y$53="Muy Baja",'Mapa final'!$AA$53="Menor"),CONCATENATE("R8C",'Mapa final'!$O$53),"")</f>
        <v/>
      </c>
      <c r="R53" s="76" t="str">
        <f>IF(AND('Mapa final'!$Y$54="Muy Baja",'Mapa final'!$AA$54="Menor"),CONCATENATE("R8C",'Mapa final'!$O$54),"")</f>
        <v/>
      </c>
      <c r="S53" s="76" t="str">
        <f>IF(AND('Mapa final'!$Y$55="Muy Baja",'Mapa final'!$AA$55="Menor"),CONCATENATE("R8C",'Mapa final'!$O$55),"")</f>
        <v/>
      </c>
      <c r="T53" s="76" t="str">
        <f>IF(AND('Mapa final'!$Y$56="Muy Baja",'Mapa final'!$AA$56="Menor"),CONCATENATE("R8C",'Mapa final'!$O$56),"")</f>
        <v/>
      </c>
      <c r="U53" s="77" t="str">
        <f>IF(AND('Mapa final'!$Y$57="Muy Baja",'Mapa final'!$AA$57="Menor"),CONCATENATE("R8C",'Mapa final'!$O$57),"")</f>
        <v/>
      </c>
      <c r="V53" s="66" t="str">
        <f>IF(AND('Mapa final'!$Y$52="Muy Baja",'Mapa final'!$AA$52="Moderado"),CONCATENATE("R8C",'Mapa final'!$O$52),"")</f>
        <v/>
      </c>
      <c r="W53" s="67" t="str">
        <f>IF(AND('Mapa final'!$Y$53="Muy Baja",'Mapa final'!$AA$53="Moderado"),CONCATENATE("R8C",'Mapa final'!$O$53),"")</f>
        <v/>
      </c>
      <c r="X53" s="67" t="str">
        <f>IF(AND('Mapa final'!$Y$54="Muy Baja",'Mapa final'!$AA$54="Moderado"),CONCATENATE("R8C",'Mapa final'!$O$54),"")</f>
        <v/>
      </c>
      <c r="Y53" s="67" t="str">
        <f>IF(AND('Mapa final'!$Y$55="Muy Baja",'Mapa final'!$AA$55="Moderado"),CONCATENATE("R8C",'Mapa final'!$O$55),"")</f>
        <v/>
      </c>
      <c r="Z53" s="67" t="str">
        <f>IF(AND('Mapa final'!$Y$56="Muy Baja",'Mapa final'!$AA$56="Moderado"),CONCATENATE("R8C",'Mapa final'!$O$56),"")</f>
        <v/>
      </c>
      <c r="AA53" s="68" t="str">
        <f>IF(AND('Mapa final'!$Y$57="Muy Baja",'Mapa final'!$AA$57="Moderado"),CONCATENATE("R8C",'Mapa final'!$O$57),"")</f>
        <v/>
      </c>
      <c r="AB53" s="51" t="str">
        <f>IF(AND('Mapa final'!$Y$52="Muy Baja",'Mapa final'!$AA$52="Mayor"),CONCATENATE("R8C",'Mapa final'!$O$52),"")</f>
        <v/>
      </c>
      <c r="AC53" s="52" t="str">
        <f>IF(AND('Mapa final'!$Y$53="Muy Baja",'Mapa final'!$AA$53="Mayor"),CONCATENATE("R8C",'Mapa final'!$O$53),"")</f>
        <v/>
      </c>
      <c r="AD53" s="52" t="str">
        <f>IF(AND('Mapa final'!$Y$54="Muy Baja",'Mapa final'!$AA$54="Mayor"),CONCATENATE("R8C",'Mapa final'!$O$54),"")</f>
        <v/>
      </c>
      <c r="AE53" s="52" t="str">
        <f>IF(AND('Mapa final'!$Y$55="Muy Baja",'Mapa final'!$AA$55="Mayor"),CONCATENATE("R8C",'Mapa final'!$O$55),"")</f>
        <v/>
      </c>
      <c r="AF53" s="52" t="str">
        <f>IF(AND('Mapa final'!$Y$56="Muy Baja",'Mapa final'!$AA$56="Mayor"),CONCATENATE("R8C",'Mapa final'!$O$56),"")</f>
        <v/>
      </c>
      <c r="AG53" s="53" t="str">
        <f>IF(AND('Mapa final'!$Y$57="Muy Baja",'Mapa final'!$AA$57="Mayor"),CONCATENATE("R8C",'Mapa final'!$O$57),"")</f>
        <v/>
      </c>
      <c r="AH53" s="54" t="str">
        <f>IF(AND('Mapa final'!$Y$52="Muy Baja",'Mapa final'!$AA$52="Catastrófico"),CONCATENATE("R8C",'Mapa final'!$O$52),"")</f>
        <v/>
      </c>
      <c r="AI53" s="55" t="str">
        <f>IF(AND('Mapa final'!$Y$53="Muy Baja",'Mapa final'!$AA$53="Catastrófico"),CONCATENATE("R8C",'Mapa final'!$O$53),"")</f>
        <v/>
      </c>
      <c r="AJ53" s="55" t="str">
        <f>IF(AND('Mapa final'!$Y$54="Muy Baja",'Mapa final'!$AA$54="Catastrófico"),CONCATENATE("R8C",'Mapa final'!$O$54),"")</f>
        <v/>
      </c>
      <c r="AK53" s="55" t="str">
        <f>IF(AND('Mapa final'!$Y$55="Muy Baja",'Mapa final'!$AA$55="Catastrófico"),CONCATENATE("R8C",'Mapa final'!$O$55),"")</f>
        <v/>
      </c>
      <c r="AL53" s="55" t="str">
        <f>IF(AND('Mapa final'!$Y$56="Muy Baja",'Mapa final'!$AA$56="Catastrófico"),CONCATENATE("R8C",'Mapa final'!$O$56),"")</f>
        <v/>
      </c>
      <c r="AM53" s="56" t="str">
        <f>IF(AND('Mapa final'!$Y$57="Muy Baja",'Mapa final'!$AA$57="Catastrófico"),CONCATENATE("R8C",'Mapa final'!$O$57),"")</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282"/>
      <c r="C54" s="282"/>
      <c r="D54" s="283"/>
      <c r="E54" s="381"/>
      <c r="F54" s="380"/>
      <c r="G54" s="380"/>
      <c r="H54" s="380"/>
      <c r="I54" s="396"/>
      <c r="J54" s="75" t="str">
        <f>IF(AND('Mapa final'!$Y$58="Muy Baja",'Mapa final'!$AA$58="Leve"),CONCATENATE("R9C",'Mapa final'!$O$58),"")</f>
        <v/>
      </c>
      <c r="K54" s="76" t="str">
        <f>IF(AND('Mapa final'!$Y$59="Muy Baja",'Mapa final'!$AA$59="Leve"),CONCATENATE("R9C",'Mapa final'!$O$59),"")</f>
        <v/>
      </c>
      <c r="L54" s="76" t="str">
        <f>IF(AND('Mapa final'!$Y$60="Muy Baja",'Mapa final'!$AA$60="Leve"),CONCATENATE("R9C",'Mapa final'!$O$60),"")</f>
        <v/>
      </c>
      <c r="M54" s="76" t="str">
        <f>IF(AND('Mapa final'!$Y$61="Muy Baja",'Mapa final'!$AA$61="Leve"),CONCATENATE("R9C",'Mapa final'!$O$61),"")</f>
        <v/>
      </c>
      <c r="N54" s="76" t="str">
        <f>IF(AND('Mapa final'!$Y$62="Muy Baja",'Mapa final'!$AA$62="Leve"),CONCATENATE("R9C",'Mapa final'!$O$62),"")</f>
        <v/>
      </c>
      <c r="O54" s="77" t="str">
        <f>IF(AND('Mapa final'!$Y$63="Muy Baja",'Mapa final'!$AA$63="Leve"),CONCATENATE("R9C",'Mapa final'!$O$63),"")</f>
        <v/>
      </c>
      <c r="P54" s="75" t="str">
        <f>IF(AND('Mapa final'!$Y$58="Muy Baja",'Mapa final'!$AA$58="Menor"),CONCATENATE("R9C",'Mapa final'!$O$58),"")</f>
        <v/>
      </c>
      <c r="Q54" s="76" t="str">
        <f>IF(AND('Mapa final'!$Y$59="Muy Baja",'Mapa final'!$AA$59="Menor"),CONCATENATE("R9C",'Mapa final'!$O$59),"")</f>
        <v/>
      </c>
      <c r="R54" s="76" t="str">
        <f>IF(AND('Mapa final'!$Y$60="Muy Baja",'Mapa final'!$AA$60="Menor"),CONCATENATE("R9C",'Mapa final'!$O$60),"")</f>
        <v/>
      </c>
      <c r="S54" s="76" t="str">
        <f>IF(AND('Mapa final'!$Y$61="Muy Baja",'Mapa final'!$AA$61="Menor"),CONCATENATE("R9C",'Mapa final'!$O$61),"")</f>
        <v/>
      </c>
      <c r="T54" s="76" t="str">
        <f>IF(AND('Mapa final'!$Y$62="Muy Baja",'Mapa final'!$AA$62="Menor"),CONCATENATE("R9C",'Mapa final'!$O$62),"")</f>
        <v/>
      </c>
      <c r="U54" s="77" t="str">
        <f>IF(AND('Mapa final'!$Y$63="Muy Baja",'Mapa final'!$AA$63="Menor"),CONCATENATE("R9C",'Mapa final'!$O$63),"")</f>
        <v/>
      </c>
      <c r="V54" s="66" t="str">
        <f>IF(AND('Mapa final'!$Y$58="Muy Baja",'Mapa final'!$AA$58="Moderado"),CONCATENATE("R9C",'Mapa final'!$O$58),"")</f>
        <v/>
      </c>
      <c r="W54" s="67" t="str">
        <f>IF(AND('Mapa final'!$Y$59="Muy Baja",'Mapa final'!$AA$59="Moderado"),CONCATENATE("R9C",'Mapa final'!$O$59),"")</f>
        <v/>
      </c>
      <c r="X54" s="67" t="str">
        <f>IF(AND('Mapa final'!$Y$60="Muy Baja",'Mapa final'!$AA$60="Moderado"),CONCATENATE("R9C",'Mapa final'!$O$60),"")</f>
        <v/>
      </c>
      <c r="Y54" s="67" t="str">
        <f>IF(AND('Mapa final'!$Y$61="Muy Baja",'Mapa final'!$AA$61="Moderado"),CONCATENATE("R9C",'Mapa final'!$O$61),"")</f>
        <v/>
      </c>
      <c r="Z54" s="67" t="str">
        <f>IF(AND('Mapa final'!$Y$62="Muy Baja",'Mapa final'!$AA$62="Moderado"),CONCATENATE("R9C",'Mapa final'!$O$62),"")</f>
        <v/>
      </c>
      <c r="AA54" s="68" t="str">
        <f>IF(AND('Mapa final'!$Y$63="Muy Baja",'Mapa final'!$AA$63="Moderado"),CONCATENATE("R9C",'Mapa final'!$O$63),"")</f>
        <v/>
      </c>
      <c r="AB54" s="51" t="str">
        <f>IF(AND('Mapa final'!$Y$58="Muy Baja",'Mapa final'!$AA$58="Mayor"),CONCATENATE("R9C",'Mapa final'!$O$58),"")</f>
        <v/>
      </c>
      <c r="AC54" s="52" t="str">
        <f>IF(AND('Mapa final'!$Y$59="Muy Baja",'Mapa final'!$AA$59="Mayor"),CONCATENATE("R9C",'Mapa final'!$O$59),"")</f>
        <v/>
      </c>
      <c r="AD54" s="52" t="str">
        <f>IF(AND('Mapa final'!$Y$60="Muy Baja",'Mapa final'!$AA$60="Mayor"),CONCATENATE("R9C",'Mapa final'!$O$60),"")</f>
        <v/>
      </c>
      <c r="AE54" s="52" t="str">
        <f>IF(AND('Mapa final'!$Y$61="Muy Baja",'Mapa final'!$AA$61="Mayor"),CONCATENATE("R9C",'Mapa final'!$O$61),"")</f>
        <v/>
      </c>
      <c r="AF54" s="52" t="str">
        <f>IF(AND('Mapa final'!$Y$62="Muy Baja",'Mapa final'!$AA$62="Mayor"),CONCATENATE("R9C",'Mapa final'!$O$62),"")</f>
        <v/>
      </c>
      <c r="AG54" s="53" t="str">
        <f>IF(AND('Mapa final'!$Y$63="Muy Baja",'Mapa final'!$AA$63="Mayor"),CONCATENATE("R9C",'Mapa final'!$O$63),"")</f>
        <v/>
      </c>
      <c r="AH54" s="54" t="str">
        <f>IF(AND('Mapa final'!$Y$58="Muy Baja",'Mapa final'!$AA$58="Catastrófico"),CONCATENATE("R9C",'Mapa final'!$O$58),"")</f>
        <v/>
      </c>
      <c r="AI54" s="55" t="str">
        <f>IF(AND('Mapa final'!$Y$59="Muy Baja",'Mapa final'!$AA$59="Catastrófico"),CONCATENATE("R9C",'Mapa final'!$O$59),"")</f>
        <v/>
      </c>
      <c r="AJ54" s="55" t="str">
        <f>IF(AND('Mapa final'!$Y$60="Muy Baja",'Mapa final'!$AA$60="Catastrófico"),CONCATENATE("R9C",'Mapa final'!$O$60),"")</f>
        <v/>
      </c>
      <c r="AK54" s="55" t="str">
        <f>IF(AND('Mapa final'!$Y$61="Muy Baja",'Mapa final'!$AA$61="Catastrófico"),CONCATENATE("R9C",'Mapa final'!$O$61),"")</f>
        <v/>
      </c>
      <c r="AL54" s="55" t="str">
        <f>IF(AND('Mapa final'!$Y$62="Muy Baja",'Mapa final'!$AA$62="Catastrófico"),CONCATENATE("R9C",'Mapa final'!$O$62),"")</f>
        <v/>
      </c>
      <c r="AM54" s="56" t="str">
        <f>IF(AND('Mapa final'!$Y$63="Muy Baja",'Mapa final'!$AA$63="Catastrófico"),CONCATENATE("R9C",'Mapa final'!$O$63),"")</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282"/>
      <c r="C55" s="282"/>
      <c r="D55" s="283"/>
      <c r="E55" s="382"/>
      <c r="F55" s="383"/>
      <c r="G55" s="383"/>
      <c r="H55" s="383"/>
      <c r="I55" s="397"/>
      <c r="J55" s="78" t="str">
        <f>IF(AND('Mapa final'!$Y$64="Muy Baja",'Mapa final'!$AA$64="Leve"),CONCATENATE("R10C",'Mapa final'!$O$64),"")</f>
        <v/>
      </c>
      <c r="K55" s="79" t="str">
        <f>IF(AND('Mapa final'!$Y$65="Muy Baja",'Mapa final'!$AA$65="Leve"),CONCATENATE("R10C",'Mapa final'!$O$65),"")</f>
        <v/>
      </c>
      <c r="L55" s="79" t="str">
        <f>IF(AND('Mapa final'!$Y$66="Muy Baja",'Mapa final'!$AA$66="Leve"),CONCATENATE("R10C",'Mapa final'!$O$66),"")</f>
        <v/>
      </c>
      <c r="M55" s="79" t="str">
        <f>IF(AND('Mapa final'!$Y$67="Muy Baja",'Mapa final'!$AA$67="Leve"),CONCATENATE("R10C",'Mapa final'!$O$67),"")</f>
        <v/>
      </c>
      <c r="N55" s="79" t="str">
        <f>IF(AND('Mapa final'!$Y$68="Muy Baja",'Mapa final'!$AA$68="Leve"),CONCATENATE("R10C",'Mapa final'!$O$68),"")</f>
        <v/>
      </c>
      <c r="O55" s="80" t="str">
        <f>IF(AND('Mapa final'!$Y$69="Muy Baja",'Mapa final'!$AA$69="Leve"),CONCATENATE("R10C",'Mapa final'!$O$69),"")</f>
        <v/>
      </c>
      <c r="P55" s="78" t="str">
        <f>IF(AND('Mapa final'!$Y$64="Muy Baja",'Mapa final'!$AA$64="Menor"),CONCATENATE("R10C",'Mapa final'!$O$64),"")</f>
        <v/>
      </c>
      <c r="Q55" s="79" t="str">
        <f>IF(AND('Mapa final'!$Y$65="Muy Baja",'Mapa final'!$AA$65="Menor"),CONCATENATE("R10C",'Mapa final'!$O$65),"")</f>
        <v/>
      </c>
      <c r="R55" s="79" t="str">
        <f>IF(AND('Mapa final'!$Y$66="Muy Baja",'Mapa final'!$AA$66="Menor"),CONCATENATE("R10C",'Mapa final'!$O$66),"")</f>
        <v/>
      </c>
      <c r="S55" s="79" t="str">
        <f>IF(AND('Mapa final'!$Y$67="Muy Baja",'Mapa final'!$AA$67="Menor"),CONCATENATE("R10C",'Mapa final'!$O$67),"")</f>
        <v/>
      </c>
      <c r="T55" s="79" t="str">
        <f>IF(AND('Mapa final'!$Y$68="Muy Baja",'Mapa final'!$AA$68="Menor"),CONCATENATE("R10C",'Mapa final'!$O$68),"")</f>
        <v/>
      </c>
      <c r="U55" s="80" t="str">
        <f>IF(AND('Mapa final'!$Y$69="Muy Baja",'Mapa final'!$AA$69="Menor"),CONCATENATE("R10C",'Mapa final'!$O$69),"")</f>
        <v/>
      </c>
      <c r="V55" s="69" t="str">
        <f>IF(AND('Mapa final'!$Y$64="Muy Baja",'Mapa final'!$AA$64="Moderado"),CONCATENATE("R10C",'Mapa final'!$O$64),"")</f>
        <v/>
      </c>
      <c r="W55" s="70" t="str">
        <f>IF(AND('Mapa final'!$Y$65="Muy Baja",'Mapa final'!$AA$65="Moderado"),CONCATENATE("R10C",'Mapa final'!$O$65),"")</f>
        <v/>
      </c>
      <c r="X55" s="70" t="str">
        <f>IF(AND('Mapa final'!$Y$66="Muy Baja",'Mapa final'!$AA$66="Moderado"),CONCATENATE("R10C",'Mapa final'!$O$66),"")</f>
        <v/>
      </c>
      <c r="Y55" s="70" t="str">
        <f>IF(AND('Mapa final'!$Y$67="Muy Baja",'Mapa final'!$AA$67="Moderado"),CONCATENATE("R10C",'Mapa final'!$O$67),"")</f>
        <v/>
      </c>
      <c r="Z55" s="70" t="str">
        <f>IF(AND('Mapa final'!$Y$68="Muy Baja",'Mapa final'!$AA$68="Moderado"),CONCATENATE("R10C",'Mapa final'!$O$68),"")</f>
        <v/>
      </c>
      <c r="AA55" s="71" t="str">
        <f>IF(AND('Mapa final'!$Y$69="Muy Baja",'Mapa final'!$AA$69="Moderado"),CONCATENATE("R10C",'Mapa final'!$O$69),"")</f>
        <v/>
      </c>
      <c r="AB55" s="57" t="str">
        <f>IF(AND('Mapa final'!$Y$64="Muy Baja",'Mapa final'!$AA$64="Mayor"),CONCATENATE("R10C",'Mapa final'!$O$64),"")</f>
        <v/>
      </c>
      <c r="AC55" s="58" t="str">
        <f>IF(AND('Mapa final'!$Y$65="Muy Baja",'Mapa final'!$AA$65="Mayor"),CONCATENATE("R10C",'Mapa final'!$O$65),"")</f>
        <v/>
      </c>
      <c r="AD55" s="58" t="str">
        <f>IF(AND('Mapa final'!$Y$66="Muy Baja",'Mapa final'!$AA$66="Mayor"),CONCATENATE("R10C",'Mapa final'!$O$66),"")</f>
        <v/>
      </c>
      <c r="AE55" s="58" t="str">
        <f>IF(AND('Mapa final'!$Y$67="Muy Baja",'Mapa final'!$AA$67="Mayor"),CONCATENATE("R10C",'Mapa final'!$O$67),"")</f>
        <v/>
      </c>
      <c r="AF55" s="58" t="str">
        <f>IF(AND('Mapa final'!$Y$68="Muy Baja",'Mapa final'!$AA$68="Mayor"),CONCATENATE("R10C",'Mapa final'!$O$68),"")</f>
        <v/>
      </c>
      <c r="AG55" s="59" t="str">
        <f>IF(AND('Mapa final'!$Y$69="Muy Baja",'Mapa final'!$AA$69="Mayor"),CONCATENATE("R10C",'Mapa final'!$O$69),"")</f>
        <v/>
      </c>
      <c r="AH55" s="60" t="str">
        <f>IF(AND('Mapa final'!$Y$64="Muy Baja",'Mapa final'!$AA$64="Catastrófico"),CONCATENATE("R10C",'Mapa final'!$O$64),"")</f>
        <v/>
      </c>
      <c r="AI55" s="61" t="str">
        <f>IF(AND('Mapa final'!$Y$65="Muy Baja",'Mapa final'!$AA$65="Catastrófico"),CONCATENATE("R10C",'Mapa final'!$O$65),"")</f>
        <v/>
      </c>
      <c r="AJ55" s="61" t="str">
        <f>IF(AND('Mapa final'!$Y$66="Muy Baja",'Mapa final'!$AA$66="Catastrófico"),CONCATENATE("R10C",'Mapa final'!$O$66),"")</f>
        <v/>
      </c>
      <c r="AK55" s="61" t="str">
        <f>IF(AND('Mapa final'!$Y$67="Muy Baja",'Mapa final'!$AA$67="Catastrófico"),CONCATENATE("R10C",'Mapa final'!$O$67),"")</f>
        <v/>
      </c>
      <c r="AL55" s="61" t="str">
        <f>IF(AND('Mapa final'!$Y$68="Muy Baja",'Mapa final'!$AA$68="Catastrófico"),CONCATENATE("R10C",'Mapa final'!$O$68),"")</f>
        <v/>
      </c>
      <c r="AM55" s="62" t="str">
        <f>IF(AND('Mapa final'!$Y$69="Muy Baja",'Mapa final'!$AA$69="Catastrófico"),CONCATENATE("R10C",'Mapa final'!$O$69),"")</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77" t="s">
        <v>111</v>
      </c>
      <c r="K56" s="378"/>
      <c r="L56" s="378"/>
      <c r="M56" s="378"/>
      <c r="N56" s="378"/>
      <c r="O56" s="395"/>
      <c r="P56" s="377" t="s">
        <v>110</v>
      </c>
      <c r="Q56" s="378"/>
      <c r="R56" s="378"/>
      <c r="S56" s="378"/>
      <c r="T56" s="378"/>
      <c r="U56" s="395"/>
      <c r="V56" s="377" t="s">
        <v>109</v>
      </c>
      <c r="W56" s="378"/>
      <c r="X56" s="378"/>
      <c r="Y56" s="378"/>
      <c r="Z56" s="378"/>
      <c r="AA56" s="395"/>
      <c r="AB56" s="377" t="s">
        <v>108</v>
      </c>
      <c r="AC56" s="416"/>
      <c r="AD56" s="378"/>
      <c r="AE56" s="378"/>
      <c r="AF56" s="378"/>
      <c r="AG56" s="395"/>
      <c r="AH56" s="377" t="s">
        <v>107</v>
      </c>
      <c r="AI56" s="378"/>
      <c r="AJ56" s="378"/>
      <c r="AK56" s="378"/>
      <c r="AL56" s="378"/>
      <c r="AM56" s="395"/>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81"/>
      <c r="K57" s="380"/>
      <c r="L57" s="380"/>
      <c r="M57" s="380"/>
      <c r="N57" s="380"/>
      <c r="O57" s="396"/>
      <c r="P57" s="381"/>
      <c r="Q57" s="380"/>
      <c r="R57" s="380"/>
      <c r="S57" s="380"/>
      <c r="T57" s="380"/>
      <c r="U57" s="396"/>
      <c r="V57" s="381"/>
      <c r="W57" s="380"/>
      <c r="X57" s="380"/>
      <c r="Y57" s="380"/>
      <c r="Z57" s="380"/>
      <c r="AA57" s="396"/>
      <c r="AB57" s="381"/>
      <c r="AC57" s="380"/>
      <c r="AD57" s="380"/>
      <c r="AE57" s="380"/>
      <c r="AF57" s="380"/>
      <c r="AG57" s="396"/>
      <c r="AH57" s="381"/>
      <c r="AI57" s="380"/>
      <c r="AJ57" s="380"/>
      <c r="AK57" s="380"/>
      <c r="AL57" s="380"/>
      <c r="AM57" s="396"/>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81"/>
      <c r="K58" s="380"/>
      <c r="L58" s="380"/>
      <c r="M58" s="380"/>
      <c r="N58" s="380"/>
      <c r="O58" s="396"/>
      <c r="P58" s="381"/>
      <c r="Q58" s="380"/>
      <c r="R58" s="380"/>
      <c r="S58" s="380"/>
      <c r="T58" s="380"/>
      <c r="U58" s="396"/>
      <c r="V58" s="381"/>
      <c r="W58" s="380"/>
      <c r="X58" s="380"/>
      <c r="Y58" s="380"/>
      <c r="Z58" s="380"/>
      <c r="AA58" s="396"/>
      <c r="AB58" s="381"/>
      <c r="AC58" s="380"/>
      <c r="AD58" s="380"/>
      <c r="AE58" s="380"/>
      <c r="AF58" s="380"/>
      <c r="AG58" s="396"/>
      <c r="AH58" s="381"/>
      <c r="AI58" s="380"/>
      <c r="AJ58" s="380"/>
      <c r="AK58" s="380"/>
      <c r="AL58" s="380"/>
      <c r="AM58" s="396"/>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81"/>
      <c r="K59" s="380"/>
      <c r="L59" s="380"/>
      <c r="M59" s="380"/>
      <c r="N59" s="380"/>
      <c r="O59" s="396"/>
      <c r="P59" s="381"/>
      <c r="Q59" s="380"/>
      <c r="R59" s="380"/>
      <c r="S59" s="380"/>
      <c r="T59" s="380"/>
      <c r="U59" s="396"/>
      <c r="V59" s="381"/>
      <c r="W59" s="380"/>
      <c r="X59" s="380"/>
      <c r="Y59" s="380"/>
      <c r="Z59" s="380"/>
      <c r="AA59" s="396"/>
      <c r="AB59" s="381"/>
      <c r="AC59" s="380"/>
      <c r="AD59" s="380"/>
      <c r="AE59" s="380"/>
      <c r="AF59" s="380"/>
      <c r="AG59" s="396"/>
      <c r="AH59" s="381"/>
      <c r="AI59" s="380"/>
      <c r="AJ59" s="380"/>
      <c r="AK59" s="380"/>
      <c r="AL59" s="380"/>
      <c r="AM59" s="396"/>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81"/>
      <c r="K60" s="380"/>
      <c r="L60" s="380"/>
      <c r="M60" s="380"/>
      <c r="N60" s="380"/>
      <c r="O60" s="396"/>
      <c r="P60" s="381"/>
      <c r="Q60" s="380"/>
      <c r="R60" s="380"/>
      <c r="S60" s="380"/>
      <c r="T60" s="380"/>
      <c r="U60" s="396"/>
      <c r="V60" s="381"/>
      <c r="W60" s="380"/>
      <c r="X60" s="380"/>
      <c r="Y60" s="380"/>
      <c r="Z60" s="380"/>
      <c r="AA60" s="396"/>
      <c r="AB60" s="381"/>
      <c r="AC60" s="380"/>
      <c r="AD60" s="380"/>
      <c r="AE60" s="380"/>
      <c r="AF60" s="380"/>
      <c r="AG60" s="396"/>
      <c r="AH60" s="381"/>
      <c r="AI60" s="380"/>
      <c r="AJ60" s="380"/>
      <c r="AK60" s="380"/>
      <c r="AL60" s="380"/>
      <c r="AM60" s="396"/>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82"/>
      <c r="K61" s="383"/>
      <c r="L61" s="383"/>
      <c r="M61" s="383"/>
      <c r="N61" s="383"/>
      <c r="O61" s="397"/>
      <c r="P61" s="382"/>
      <c r="Q61" s="383"/>
      <c r="R61" s="383"/>
      <c r="S61" s="383"/>
      <c r="T61" s="383"/>
      <c r="U61" s="397"/>
      <c r="V61" s="382"/>
      <c r="W61" s="383"/>
      <c r="X61" s="383"/>
      <c r="Y61" s="383"/>
      <c r="Z61" s="383"/>
      <c r="AA61" s="397"/>
      <c r="AB61" s="382"/>
      <c r="AC61" s="383"/>
      <c r="AD61" s="383"/>
      <c r="AE61" s="383"/>
      <c r="AF61" s="383"/>
      <c r="AG61" s="397"/>
      <c r="AH61" s="382"/>
      <c r="AI61" s="383"/>
      <c r="AJ61" s="383"/>
      <c r="AK61" s="383"/>
      <c r="AL61" s="383"/>
      <c r="AM61" s="397"/>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17" t="s">
        <v>54</v>
      </c>
      <c r="C1" s="417"/>
      <c r="D1" s="417"/>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82"/>
      <c r="B1" s="418" t="s">
        <v>62</v>
      </c>
      <c r="C1" s="418"/>
      <c r="D1" s="418"/>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55</v>
      </c>
      <c r="D3" s="35" t="s">
        <v>56</v>
      </c>
      <c r="E3" s="82"/>
      <c r="F3" s="82"/>
      <c r="G3" s="82"/>
      <c r="H3" s="82"/>
      <c r="I3" s="82"/>
      <c r="J3" s="82"/>
      <c r="K3" s="82"/>
      <c r="L3" s="82"/>
      <c r="M3" s="82"/>
      <c r="N3" s="82"/>
      <c r="O3" s="82"/>
      <c r="P3" s="82"/>
      <c r="Q3" s="82"/>
      <c r="R3" s="82"/>
      <c r="S3" s="82"/>
      <c r="T3" s="82"/>
      <c r="U3" s="82"/>
    </row>
    <row r="4" spans="1:21" ht="33.75" x14ac:dyDescent="0.25">
      <c r="A4" s="102" t="s">
        <v>82</v>
      </c>
      <c r="B4" s="38" t="s">
        <v>100</v>
      </c>
      <c r="C4" s="43" t="s">
        <v>156</v>
      </c>
      <c r="D4" s="36" t="s">
        <v>96</v>
      </c>
      <c r="E4" s="82"/>
      <c r="F4" s="82"/>
      <c r="G4" s="82"/>
      <c r="H4" s="82"/>
      <c r="I4" s="82"/>
      <c r="J4" s="82"/>
      <c r="K4" s="82"/>
      <c r="L4" s="82"/>
      <c r="M4" s="82"/>
      <c r="N4" s="82"/>
      <c r="O4" s="82"/>
      <c r="P4" s="82"/>
      <c r="Q4" s="82"/>
      <c r="R4" s="82"/>
      <c r="S4" s="82"/>
      <c r="T4" s="82"/>
      <c r="U4" s="82"/>
    </row>
    <row r="5" spans="1:21" ht="67.5" x14ac:dyDescent="0.25">
      <c r="A5" s="102" t="s">
        <v>83</v>
      </c>
      <c r="B5" s="39" t="s">
        <v>58</v>
      </c>
      <c r="C5" s="44" t="s">
        <v>92</v>
      </c>
      <c r="D5" s="37" t="s">
        <v>97</v>
      </c>
      <c r="E5" s="82"/>
      <c r="F5" s="82"/>
      <c r="G5" s="82"/>
      <c r="H5" s="82"/>
      <c r="I5" s="82"/>
      <c r="J5" s="82"/>
      <c r="K5" s="82"/>
      <c r="L5" s="82"/>
      <c r="M5" s="82"/>
      <c r="N5" s="82"/>
      <c r="O5" s="82"/>
      <c r="P5" s="82"/>
      <c r="Q5" s="82"/>
      <c r="R5" s="82"/>
      <c r="S5" s="82"/>
      <c r="T5" s="82"/>
      <c r="U5" s="82"/>
    </row>
    <row r="6" spans="1:21" ht="67.5" x14ac:dyDescent="0.25">
      <c r="A6" s="102" t="s">
        <v>80</v>
      </c>
      <c r="B6" s="40" t="s">
        <v>59</v>
      </c>
      <c r="C6" s="44" t="s">
        <v>93</v>
      </c>
      <c r="D6" s="37" t="s">
        <v>99</v>
      </c>
      <c r="E6" s="82"/>
      <c r="F6" s="82"/>
      <c r="G6" s="82"/>
      <c r="H6" s="82"/>
      <c r="I6" s="82"/>
      <c r="J6" s="82"/>
      <c r="K6" s="82"/>
      <c r="L6" s="82"/>
      <c r="M6" s="82"/>
      <c r="N6" s="82"/>
      <c r="O6" s="82"/>
      <c r="P6" s="82"/>
      <c r="Q6" s="82"/>
      <c r="R6" s="82"/>
      <c r="S6" s="82"/>
      <c r="T6" s="82"/>
      <c r="U6" s="82"/>
    </row>
    <row r="7" spans="1:21" ht="101.25" x14ac:dyDescent="0.25">
      <c r="A7" s="102" t="s">
        <v>7</v>
      </c>
      <c r="B7" s="41" t="s">
        <v>60</v>
      </c>
      <c r="C7" s="44" t="s">
        <v>94</v>
      </c>
      <c r="D7" s="37" t="s">
        <v>98</v>
      </c>
      <c r="E7" s="82"/>
      <c r="F7" s="82"/>
      <c r="G7" s="82"/>
      <c r="H7" s="82"/>
      <c r="I7" s="82"/>
      <c r="J7" s="82"/>
      <c r="K7" s="82"/>
      <c r="L7" s="82"/>
      <c r="M7" s="82"/>
      <c r="N7" s="82"/>
      <c r="O7" s="82"/>
      <c r="P7" s="82"/>
      <c r="Q7" s="82"/>
      <c r="R7" s="82"/>
      <c r="S7" s="82"/>
      <c r="T7" s="82"/>
      <c r="U7" s="82"/>
    </row>
    <row r="8" spans="1:21" ht="67.5" x14ac:dyDescent="0.25">
      <c r="A8" s="102" t="s">
        <v>84</v>
      </c>
      <c r="B8" s="42" t="s">
        <v>61</v>
      </c>
      <c r="C8" s="44" t="s">
        <v>95</v>
      </c>
      <c r="D8" s="37" t="s">
        <v>117</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25">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25">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25">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25">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87</v>
      </c>
      <c r="C209" s="29" t="s">
        <v>143</v>
      </c>
      <c r="D209" s="32" t="s">
        <v>87</v>
      </c>
      <c r="E209" s="32" t="s">
        <v>143</v>
      </c>
    </row>
    <row r="210" spans="1:8" ht="21" x14ac:dyDescent="0.35">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35">
      <c r="A211" s="82"/>
      <c r="B211" s="30" t="s">
        <v>89</v>
      </c>
      <c r="C211" s="30" t="s">
        <v>92</v>
      </c>
      <c r="E211" t="s">
        <v>57</v>
      </c>
      <c r="F211" t="str">
        <f t="shared" ref="F211:F221" si="0">IF(NOT(ISBLANK(D211)),D211,IF(NOT(ISBLANK(E211)),"     "&amp;E211,FALSE))</f>
        <v xml:space="preserve">     Afectación menor a 10 SMLMV .</v>
      </c>
    </row>
    <row r="212" spans="1:8" ht="21" x14ac:dyDescent="0.35">
      <c r="A212" s="82"/>
      <c r="B212" s="30" t="s">
        <v>89</v>
      </c>
      <c r="C212" s="30" t="s">
        <v>93</v>
      </c>
      <c r="E212" t="s">
        <v>92</v>
      </c>
      <c r="F212" t="str">
        <f t="shared" si="0"/>
        <v xml:space="preserve">     Entre 10 y 50 SMLMV </v>
      </c>
    </row>
    <row r="213" spans="1:8" ht="21" x14ac:dyDescent="0.35">
      <c r="A213" s="82"/>
      <c r="B213" s="30" t="s">
        <v>89</v>
      </c>
      <c r="C213" s="30" t="s">
        <v>94</v>
      </c>
      <c r="E213" t="s">
        <v>93</v>
      </c>
      <c r="F213" t="str">
        <f t="shared" si="0"/>
        <v xml:space="preserve">     Entre 50 y 100 SMLMV </v>
      </c>
    </row>
    <row r="214" spans="1:8" ht="21" x14ac:dyDescent="0.35">
      <c r="A214" s="82"/>
      <c r="B214" s="30" t="s">
        <v>89</v>
      </c>
      <c r="C214" s="30" t="s">
        <v>95</v>
      </c>
      <c r="E214" t="s">
        <v>94</v>
      </c>
      <c r="F214" t="str">
        <f t="shared" si="0"/>
        <v xml:space="preserve">     Entre 100 y 500 SMLMV </v>
      </c>
    </row>
    <row r="215" spans="1:8" ht="21" x14ac:dyDescent="0.35">
      <c r="A215" s="82"/>
      <c r="B215" s="30" t="s">
        <v>56</v>
      </c>
      <c r="C215" s="30" t="s">
        <v>96</v>
      </c>
      <c r="E215" t="s">
        <v>95</v>
      </c>
      <c r="F215" t="str">
        <f t="shared" si="0"/>
        <v xml:space="preserve">     Mayor a 500 SMLMV </v>
      </c>
    </row>
    <row r="216" spans="1:8" ht="21" x14ac:dyDescent="0.35">
      <c r="A216" s="82"/>
      <c r="B216" s="30" t="s">
        <v>56</v>
      </c>
      <c r="C216" s="30" t="s">
        <v>97</v>
      </c>
      <c r="D216" t="s">
        <v>56</v>
      </c>
      <c r="F216" t="str">
        <f t="shared" si="0"/>
        <v>Pérdida Reputacional</v>
      </c>
    </row>
    <row r="217" spans="1:8" ht="21" x14ac:dyDescent="0.35">
      <c r="A217" s="82"/>
      <c r="B217" s="30" t="s">
        <v>56</v>
      </c>
      <c r="C217" s="30" t="s">
        <v>99</v>
      </c>
      <c r="E217" t="s">
        <v>96</v>
      </c>
      <c r="F217" t="str">
        <f t="shared" si="0"/>
        <v xml:space="preserve">     El riesgo afecta la imagen de alguna área de la organización</v>
      </c>
    </row>
    <row r="218" spans="1:8" ht="21" x14ac:dyDescent="0.35">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35">
      <c r="A219" s="82"/>
      <c r="B219" s="30" t="s">
        <v>56</v>
      </c>
      <c r="C219" s="30" t="s">
        <v>117</v>
      </c>
      <c r="E219" t="s">
        <v>99</v>
      </c>
      <c r="F219" t="str">
        <f t="shared" si="0"/>
        <v xml:space="preserve">     El riesgo afecta la imagen de la entidad con algunos usuarios de relevancia frente al logro de los objetivos</v>
      </c>
    </row>
    <row r="220" spans="1:8" x14ac:dyDescent="0.25">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145</v>
      </c>
    </row>
    <row r="224" spans="1:8" x14ac:dyDescent="0.25">
      <c r="B224" s="21"/>
      <c r="C224" s="21"/>
      <c r="F224" s="34" t="s">
        <v>146</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42578125" defaultRowHeight="12.75" x14ac:dyDescent="0.2"/>
  <cols>
    <col min="1" max="2" width="14.42578125" style="87"/>
    <col min="3" max="3" width="17" style="87" customWidth="1"/>
    <col min="4" max="4" width="14.42578125" style="87"/>
    <col min="5" max="5" width="46" style="87" customWidth="1"/>
    <col min="6" max="16384" width="14.42578125" style="87"/>
  </cols>
  <sheetData>
    <row r="1" spans="2:6" ht="24" customHeight="1" thickBot="1" x14ac:dyDescent="0.25">
      <c r="B1" s="419" t="s">
        <v>77</v>
      </c>
      <c r="C1" s="420"/>
      <c r="D1" s="420"/>
      <c r="E1" s="420"/>
      <c r="F1" s="421"/>
    </row>
    <row r="2" spans="2:6" ht="16.5" thickBot="1" x14ac:dyDescent="0.3">
      <c r="B2" s="88"/>
      <c r="C2" s="88"/>
      <c r="D2" s="88"/>
      <c r="E2" s="88"/>
      <c r="F2" s="88"/>
    </row>
    <row r="3" spans="2:6" ht="16.5" thickBot="1" x14ac:dyDescent="0.25">
      <c r="B3" s="423" t="s">
        <v>63</v>
      </c>
      <c r="C3" s="424"/>
      <c r="D3" s="424"/>
      <c r="E3" s="100" t="s">
        <v>64</v>
      </c>
      <c r="F3" s="101" t="s">
        <v>65</v>
      </c>
    </row>
    <row r="4" spans="2:6" ht="31.5" x14ac:dyDescent="0.2">
      <c r="B4" s="425" t="s">
        <v>66</v>
      </c>
      <c r="C4" s="427" t="s">
        <v>13</v>
      </c>
      <c r="D4" s="89" t="s">
        <v>14</v>
      </c>
      <c r="E4" s="90" t="s">
        <v>67</v>
      </c>
      <c r="F4" s="91">
        <v>0.25</v>
      </c>
    </row>
    <row r="5" spans="2:6" ht="47.25" x14ac:dyDescent="0.2">
      <c r="B5" s="426"/>
      <c r="C5" s="428"/>
      <c r="D5" s="92" t="s">
        <v>15</v>
      </c>
      <c r="E5" s="93" t="s">
        <v>68</v>
      </c>
      <c r="F5" s="94">
        <v>0.15</v>
      </c>
    </row>
    <row r="6" spans="2:6" ht="47.25" x14ac:dyDescent="0.2">
      <c r="B6" s="426"/>
      <c r="C6" s="428"/>
      <c r="D6" s="92" t="s">
        <v>16</v>
      </c>
      <c r="E6" s="93" t="s">
        <v>69</v>
      </c>
      <c r="F6" s="94">
        <v>0.1</v>
      </c>
    </row>
    <row r="7" spans="2:6" ht="63" x14ac:dyDescent="0.2">
      <c r="B7" s="426"/>
      <c r="C7" s="428" t="s">
        <v>17</v>
      </c>
      <c r="D7" s="92" t="s">
        <v>10</v>
      </c>
      <c r="E7" s="93" t="s">
        <v>70</v>
      </c>
      <c r="F7" s="94">
        <v>0.25</v>
      </c>
    </row>
    <row r="8" spans="2:6" ht="31.5" x14ac:dyDescent="0.2">
      <c r="B8" s="426"/>
      <c r="C8" s="428"/>
      <c r="D8" s="92" t="s">
        <v>9</v>
      </c>
      <c r="E8" s="93" t="s">
        <v>71</v>
      </c>
      <c r="F8" s="94">
        <v>0.15</v>
      </c>
    </row>
    <row r="9" spans="2:6" ht="47.25" x14ac:dyDescent="0.2">
      <c r="B9" s="426" t="s">
        <v>160</v>
      </c>
      <c r="C9" s="428" t="s">
        <v>18</v>
      </c>
      <c r="D9" s="92" t="s">
        <v>19</v>
      </c>
      <c r="E9" s="93" t="s">
        <v>72</v>
      </c>
      <c r="F9" s="95" t="s">
        <v>73</v>
      </c>
    </row>
    <row r="10" spans="2:6" ht="63" x14ac:dyDescent="0.2">
      <c r="B10" s="426"/>
      <c r="C10" s="428"/>
      <c r="D10" s="92" t="s">
        <v>20</v>
      </c>
      <c r="E10" s="93" t="s">
        <v>74</v>
      </c>
      <c r="F10" s="95" t="s">
        <v>73</v>
      </c>
    </row>
    <row r="11" spans="2:6" ht="47.25" x14ac:dyDescent="0.2">
      <c r="B11" s="426"/>
      <c r="C11" s="428" t="s">
        <v>21</v>
      </c>
      <c r="D11" s="92" t="s">
        <v>22</v>
      </c>
      <c r="E11" s="93" t="s">
        <v>75</v>
      </c>
      <c r="F11" s="95" t="s">
        <v>73</v>
      </c>
    </row>
    <row r="12" spans="2:6" ht="47.25" x14ac:dyDescent="0.2">
      <c r="B12" s="426"/>
      <c r="C12" s="428"/>
      <c r="D12" s="92" t="s">
        <v>23</v>
      </c>
      <c r="E12" s="93" t="s">
        <v>76</v>
      </c>
      <c r="F12" s="95" t="s">
        <v>73</v>
      </c>
    </row>
    <row r="13" spans="2:6" ht="31.5" x14ac:dyDescent="0.2">
      <c r="B13" s="426"/>
      <c r="C13" s="428" t="s">
        <v>24</v>
      </c>
      <c r="D13" s="92" t="s">
        <v>118</v>
      </c>
      <c r="E13" s="93" t="s">
        <v>121</v>
      </c>
      <c r="F13" s="95" t="s">
        <v>73</v>
      </c>
    </row>
    <row r="14" spans="2:6" ht="32.25" thickBot="1" x14ac:dyDescent="0.25">
      <c r="B14" s="429"/>
      <c r="C14" s="430"/>
      <c r="D14" s="96" t="s">
        <v>119</v>
      </c>
      <c r="E14" s="97" t="s">
        <v>120</v>
      </c>
      <c r="F14" s="98" t="s">
        <v>73</v>
      </c>
    </row>
    <row r="15" spans="2:6" ht="49.5" customHeight="1" x14ac:dyDescent="0.2">
      <c r="B15" s="422" t="s">
        <v>157</v>
      </c>
      <c r="C15" s="422"/>
      <c r="D15" s="422"/>
      <c r="E15" s="422"/>
      <c r="F15" s="422"/>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39</v>
      </c>
    </row>
    <row r="21" spans="1:1" x14ac:dyDescent="0.2">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2024-09-13T20:04:12Z</dcterms:modified>
</cp:coreProperties>
</file>