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USUARIO\Desktop\SEGUIMIENTO MAPAS DE RIESGOS OCI - PARA PUBLICAR\"/>
    </mc:Choice>
  </mc:AlternateContent>
  <bookViews>
    <workbookView xWindow="0" yWindow="0" windowWidth="28800" windowHeight="12135" tabRatio="882" firstSheet="1" activeTab="1"/>
  </bookViews>
  <sheets>
    <sheet name="Intructivo" sheetId="20" state="hidden" r:id="rId1"/>
    <sheet name="Mapa final" sheetId="1" r:id="rId2"/>
    <sheet name="Matriz Calor Inherente" sheetId="18" state="hidden" r:id="rId3"/>
    <sheet name="Matriz Calor Residual" sheetId="19" state="hidden" r:id="rId4"/>
    <sheet name="Tabla probabilidad" sheetId="12" state="hidden" r:id="rId5"/>
    <sheet name="Tabla Impacto" sheetId="13" state="hidden" r:id="rId6"/>
    <sheet name="Tabla Valoración controles" sheetId="15" state="hidden" r:id="rId7"/>
    <sheet name="Opciones Tratamiento" sheetId="16" state="hidden" r:id="rId8"/>
    <sheet name="Hoja1" sheetId="11" state="hidden" r:id="rId9"/>
  </sheets>
  <calcPr calcId="152511"/>
  <pivotCaches>
    <pivotCache cacheId="0" r:id="rId10"/>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22" i="1" l="1"/>
  <c r="T21" i="1" l="1"/>
  <c r="Q21" i="1"/>
  <c r="T20" i="1"/>
  <c r="Q20" i="1"/>
  <c r="X21" i="1" s="1"/>
  <c r="T19" i="1"/>
  <c r="Q19" i="1"/>
  <c r="AB20" i="1" s="1"/>
  <c r="AA20" i="1" s="1"/>
  <c r="T16" i="1"/>
  <c r="Q16" i="1"/>
  <c r="H16" i="1"/>
  <c r="Q10" i="1"/>
  <c r="Q28" i="1"/>
  <c r="T10" i="1"/>
  <c r="H10" i="1"/>
  <c r="I10" i="1" s="1"/>
  <c r="K18" i="1"/>
  <c r="K33" i="1"/>
  <c r="K65" i="1"/>
  <c r="K64" i="1"/>
  <c r="K19" i="1"/>
  <c r="K36" i="1"/>
  <c r="K17" i="1"/>
  <c r="K30" i="1"/>
  <c r="K21" i="1"/>
  <c r="K27" i="1"/>
  <c r="K29" i="1"/>
  <c r="K63" i="1"/>
  <c r="K24" i="1"/>
  <c r="K35" i="1"/>
  <c r="K23" i="1"/>
  <c r="K66" i="1"/>
  <c r="K31" i="1"/>
  <c r="K26" i="1"/>
  <c r="K62" i="1"/>
  <c r="K32" i="1"/>
  <c r="K20" i="1"/>
  <c r="K25" i="1"/>
  <c r="X20" i="1" l="1"/>
  <c r="AB19" i="1"/>
  <c r="AA19" i="1" s="1"/>
  <c r="AB21" i="1"/>
  <c r="AA21" i="1" s="1"/>
  <c r="Z21" i="1"/>
  <c r="Y21" i="1"/>
  <c r="Z20" i="1"/>
  <c r="Y20" i="1"/>
  <c r="AC20" i="1" s="1"/>
  <c r="X19" i="1"/>
  <c r="I16" i="1"/>
  <c r="X16" i="1" s="1"/>
  <c r="F221" i="13"/>
  <c r="F211" i="13"/>
  <c r="F212" i="13"/>
  <c r="F213" i="13"/>
  <c r="F214" i="13"/>
  <c r="F215" i="13"/>
  <c r="F216" i="13"/>
  <c r="F217" i="13"/>
  <c r="F218" i="13"/>
  <c r="F219" i="13"/>
  <c r="F220" i="13"/>
  <c r="F210" i="13"/>
  <c r="K13" i="1"/>
  <c r="K15" i="1"/>
  <c r="K12" i="1"/>
  <c r="B221" i="13" a="1"/>
  <c r="K11" i="1"/>
  <c r="K14" i="1"/>
  <c r="AC21" i="1" l="1"/>
  <c r="Y16" i="1"/>
  <c r="Z16" i="1"/>
  <c r="Z19" i="1"/>
  <c r="Y19" i="1"/>
  <c r="AC19" i="1" s="1"/>
  <c r="B221" i="13"/>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6" i="1" l="1"/>
  <c r="Q66" i="1"/>
  <c r="T65" i="1"/>
  <c r="Q65" i="1"/>
  <c r="T64" i="1"/>
  <c r="Q64" i="1"/>
  <c r="T63" i="1"/>
  <c r="Q63" i="1"/>
  <c r="T62" i="1"/>
  <c r="Q62" i="1"/>
  <c r="AB62" i="1"/>
  <c r="H61" i="1"/>
  <c r="I61" i="1" s="1"/>
  <c r="T36" i="1"/>
  <c r="Q36" i="1"/>
  <c r="T35" i="1"/>
  <c r="Q35" i="1"/>
  <c r="T34" i="1"/>
  <c r="Q34" i="1"/>
  <c r="H34" i="1"/>
  <c r="I34" i="1" s="1"/>
  <c r="T33" i="1"/>
  <c r="Q33" i="1"/>
  <c r="T32" i="1"/>
  <c r="Q32" i="1"/>
  <c r="T31" i="1"/>
  <c r="Q31" i="1"/>
  <c r="T28" i="1"/>
  <c r="H28" i="1"/>
  <c r="I28" i="1" s="1"/>
  <c r="T27" i="1"/>
  <c r="Q27" i="1"/>
  <c r="T26" i="1"/>
  <c r="Q26" i="1"/>
  <c r="T25" i="1"/>
  <c r="Q25" i="1"/>
  <c r="T24" i="1"/>
  <c r="Q24" i="1"/>
  <c r="T22" i="1"/>
  <c r="H22" i="1"/>
  <c r="I22" i="1" s="1"/>
  <c r="Q15" i="1"/>
  <c r="Q14" i="1"/>
  <c r="Q13" i="1"/>
  <c r="X34" i="1" l="1"/>
  <c r="X28" i="1"/>
  <c r="X22" i="1"/>
  <c r="X62" i="1" l="1"/>
  <c r="Y62" i="1" s="1"/>
  <c r="Y34" i="1"/>
  <c r="Z34" i="1"/>
  <c r="Y28" i="1"/>
  <c r="Z28" i="1"/>
  <c r="Y22" i="1"/>
  <c r="Z22" i="1"/>
  <c r="X24" i="1" l="1"/>
  <c r="Y24" i="1" s="1"/>
  <c r="Z62" i="1"/>
  <c r="X63"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2" i="1"/>
  <c r="T13" i="1"/>
  <c r="T14" i="1"/>
  <c r="T15" i="1"/>
  <c r="Z24" i="1" l="1"/>
  <c r="X25" i="1" s="1"/>
  <c r="Z25" i="1" s="1"/>
  <c r="Y63" i="1"/>
  <c r="Z63" i="1"/>
  <c r="X64" i="1" s="1"/>
  <c r="X31" i="1"/>
  <c r="X35" i="1" l="1"/>
  <c r="Y25" i="1"/>
  <c r="X26" i="1"/>
  <c r="Z64" i="1"/>
  <c r="Y64" i="1"/>
  <c r="Y31" i="1"/>
  <c r="Z31" i="1"/>
  <c r="X33" i="1"/>
  <c r="Q12" i="1"/>
  <c r="X65" i="1" l="1"/>
  <c r="X66" i="1"/>
  <c r="Z35" i="1"/>
  <c r="X36" i="1" s="1"/>
  <c r="Y35" i="1"/>
  <c r="Y26" i="1"/>
  <c r="Z26" i="1"/>
  <c r="X27" i="1" s="1"/>
  <c r="Y27" i="1" s="1"/>
  <c r="Y33" i="1"/>
  <c r="Z33" i="1"/>
  <c r="X10" i="1"/>
  <c r="Y10" i="1" s="1"/>
  <c r="Y66" i="1" l="1"/>
  <c r="Z66" i="1"/>
  <c r="Y65" i="1"/>
  <c r="Z65" i="1"/>
  <c r="Y36" i="1"/>
  <c r="Z36" i="1"/>
  <c r="Z27" i="1"/>
  <c r="Z10" i="1" l="1"/>
  <c r="X12" i="1" l="1"/>
  <c r="Y12" i="1" s="1"/>
  <c r="Z12" i="1" l="1"/>
  <c r="X13" i="1" s="1"/>
  <c r="Z13" i="1" l="1"/>
  <c r="X14" i="1" s="1"/>
  <c r="Y14" i="1" l="1"/>
  <c r="Z14" i="1"/>
  <c r="X15" i="1" s="1"/>
  <c r="Y13" i="1"/>
  <c r="Y15" i="1" l="1"/>
  <c r="Z15" i="1"/>
  <c r="AB63" i="1" l="1"/>
  <c r="AB24"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2" i="1"/>
  <c r="AB12" i="1"/>
  <c r="AA63" i="1"/>
  <c r="AB64"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4" i="1"/>
  <c r="AB65" i="1"/>
  <c r="K35" i="19"/>
  <c r="AC25" i="19"/>
  <c r="K45" i="19"/>
  <c r="AI45" i="19"/>
  <c r="W45" i="19"/>
  <c r="Q35" i="19"/>
  <c r="K55" i="19"/>
  <c r="AC15" i="19"/>
  <c r="Q15" i="19"/>
  <c r="AC35" i="19"/>
  <c r="AI35" i="19"/>
  <c r="Q55" i="19"/>
  <c r="AI25" i="19"/>
  <c r="AC6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AC6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B3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A14" i="1" l="1"/>
  <c r="AB15" i="1"/>
  <c r="AA15"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65" i="1"/>
  <c r="AB66" i="1"/>
  <c r="AA6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6" i="1"/>
  <c r="AA26" i="1" s="1"/>
  <c r="AA25" i="1"/>
  <c r="AB27" i="1"/>
  <c r="AA27"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AC64"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1" i="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B35"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A35" i="1" l="1"/>
  <c r="AB36" i="1"/>
  <c r="AA36"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3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J42" i="18" l="1"/>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V22" i="19" l="1"/>
  <c r="AB32" i="19"/>
  <c r="P22" i="19"/>
  <c r="AB42" i="19"/>
  <c r="AH12" i="19"/>
  <c r="P52" i="19"/>
  <c r="AB12" i="19"/>
  <c r="AH52" i="19"/>
  <c r="J22" i="19"/>
  <c r="V32" i="19"/>
  <c r="J52" i="19"/>
  <c r="P12" i="19"/>
  <c r="V42" i="19"/>
  <c r="AH32" i="19"/>
  <c r="P42" i="19"/>
  <c r="J12" i="19"/>
  <c r="J42" i="19"/>
  <c r="V12" i="19"/>
  <c r="J32" i="19"/>
  <c r="AH42" i="19"/>
  <c r="V52" i="19"/>
  <c r="AB52" i="19"/>
  <c r="P32" i="19"/>
  <c r="AB22" i="19"/>
  <c r="AH22"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W11" i="19" l="1"/>
  <c r="AC41" i="19"/>
  <c r="K21" i="19"/>
  <c r="K51" i="19"/>
  <c r="Q51" i="19"/>
  <c r="AC21" i="19"/>
  <c r="AI31" i="19"/>
  <c r="Q21" i="19"/>
  <c r="AI41" i="19"/>
  <c r="Q11" i="19"/>
  <c r="W21" i="19"/>
  <c r="K31" i="19"/>
  <c r="Q41" i="19"/>
  <c r="AC11" i="19"/>
  <c r="W51" i="19"/>
  <c r="K11" i="19"/>
  <c r="AI51" i="19"/>
  <c r="AC31" i="19"/>
  <c r="AI11" i="19"/>
  <c r="W41" i="19"/>
  <c r="Q31" i="19"/>
  <c r="AC51" i="19"/>
  <c r="K41" i="19"/>
  <c r="AI21" i="19"/>
  <c r="W31" i="19"/>
  <c r="AD31" i="19"/>
  <c r="L21" i="19"/>
  <c r="R51" i="19"/>
  <c r="L51" i="19"/>
  <c r="L41" i="19"/>
  <c r="R41" i="19"/>
  <c r="AD11" i="19"/>
  <c r="R21" i="19"/>
  <c r="L11" i="19"/>
  <c r="X31" i="19"/>
  <c r="AJ51" i="19"/>
  <c r="R11" i="19"/>
  <c r="AJ31" i="19"/>
  <c r="L31" i="19"/>
  <c r="AD21" i="19"/>
  <c r="AD41" i="19"/>
  <c r="X51" i="19"/>
  <c r="X11" i="19"/>
  <c r="AJ21" i="19"/>
  <c r="AJ11" i="19"/>
  <c r="X21" i="19"/>
  <c r="X41" i="19"/>
  <c r="AJ41" i="19"/>
  <c r="R31" i="19"/>
  <c r="AD51" i="19"/>
  <c r="AD29" i="19"/>
  <c r="L49" i="19"/>
  <c r="L39" i="19"/>
  <c r="L29" i="19"/>
  <c r="AD49" i="19"/>
  <c r="AD19" i="19"/>
  <c r="X19" i="19"/>
  <c r="R19" i="19"/>
  <c r="R49" i="19"/>
  <c r="AJ39" i="19"/>
  <c r="R39" i="19"/>
  <c r="X29" i="19"/>
  <c r="X9" i="19"/>
  <c r="R9" i="19"/>
  <c r="X39" i="19"/>
  <c r="AJ29" i="19"/>
  <c r="AJ19" i="19"/>
  <c r="AD9" i="19"/>
  <c r="X49" i="19"/>
  <c r="L9" i="19"/>
  <c r="AJ9" i="19"/>
  <c r="AD39" i="19"/>
  <c r="AJ49" i="19"/>
  <c r="R29" i="19"/>
  <c r="L19" i="19"/>
  <c r="Q49" i="19"/>
  <c r="K9" i="19"/>
  <c r="K49" i="19"/>
  <c r="W9" i="19"/>
  <c r="W49" i="19"/>
  <c r="W19" i="19"/>
  <c r="Q19" i="19"/>
  <c r="K39" i="19"/>
  <c r="AC9" i="19"/>
  <c r="AI39" i="19"/>
  <c r="Q9" i="19"/>
  <c r="AC29" i="19"/>
  <c r="AC39" i="19"/>
  <c r="AI9" i="19"/>
  <c r="K29" i="19"/>
  <c r="AI29" i="19"/>
  <c r="AI19" i="19"/>
  <c r="W29" i="19"/>
  <c r="Q29" i="19"/>
  <c r="AC49" i="19"/>
  <c r="W39" i="19"/>
  <c r="AI49" i="19"/>
  <c r="AC19" i="19"/>
  <c r="K19" i="19"/>
  <c r="Q39" i="19"/>
  <c r="Z32" i="18" l="1"/>
  <c r="T16" i="18"/>
  <c r="Z40" i="18"/>
  <c r="N32" i="18"/>
  <c r="AF40" i="18"/>
  <c r="AL8" i="18"/>
  <c r="AF16" i="18"/>
  <c r="Z8" i="18"/>
  <c r="AF24" i="18"/>
  <c r="AL24" i="18"/>
  <c r="N16" i="18"/>
  <c r="AF8" i="18"/>
  <c r="Z16" i="18"/>
  <c r="T32" i="18"/>
  <c r="AL32" i="18"/>
  <c r="Z24" i="18"/>
  <c r="T8" i="18"/>
  <c r="AL40" i="18"/>
  <c r="N40" i="18"/>
  <c r="N8" i="18"/>
  <c r="AF32" i="18"/>
  <c r="T24" i="18"/>
  <c r="N24" i="18"/>
  <c r="AL16" i="18"/>
  <c r="T40" i="18"/>
  <c r="AH41" i="19" l="1"/>
  <c r="AB31" i="19"/>
  <c r="P21" i="19"/>
  <c r="AH11" i="19"/>
  <c r="P51" i="19"/>
  <c r="AB21" i="19"/>
  <c r="AB51" i="19"/>
  <c r="V21" i="19"/>
  <c r="J41" i="19"/>
  <c r="J31" i="19"/>
  <c r="AH21" i="19"/>
  <c r="V11" i="19"/>
  <c r="V31" i="19"/>
  <c r="J21" i="19"/>
  <c r="V51" i="19"/>
  <c r="P41" i="19"/>
  <c r="J51" i="19"/>
  <c r="AB11" i="19"/>
  <c r="AH51" i="19"/>
  <c r="J11" i="19"/>
  <c r="P11" i="19"/>
  <c r="V41" i="19"/>
  <c r="AH31" i="19"/>
  <c r="P31" i="19"/>
  <c r="AB41" i="19"/>
  <c r="B223" i="13"/>
  <c r="B222" i="13"/>
  <c r="K16" i="1" l="1"/>
  <c r="L16" i="1" s="1"/>
  <c r="K10" i="1"/>
  <c r="L10" i="1" s="1"/>
  <c r="K28" i="1"/>
  <c r="L28" i="1" s="1"/>
  <c r="K22" i="1"/>
  <c r="L22" i="1" s="1"/>
  <c r="K61" i="1"/>
  <c r="L61" i="1" s="1"/>
  <c r="K34" i="1"/>
  <c r="L34" i="1" s="1"/>
  <c r="AJ32" i="18" l="1"/>
  <c r="R24" i="18"/>
  <c r="L24" i="18"/>
  <c r="X32" i="18"/>
  <c r="L16" i="18"/>
  <c r="L8" i="18"/>
  <c r="R8" i="18"/>
  <c r="M34" i="1"/>
  <c r="AB34" i="1" s="1"/>
  <c r="AA34" i="1" s="1"/>
  <c r="X40" i="18"/>
  <c r="AJ16" i="18"/>
  <c r="AD32" i="18"/>
  <c r="X24" i="18"/>
  <c r="R16" i="18"/>
  <c r="L40" i="18"/>
  <c r="X8" i="18"/>
  <c r="AJ24" i="18"/>
  <c r="AD24" i="18"/>
  <c r="AD8" i="18"/>
  <c r="N34" i="1"/>
  <c r="AJ40" i="18"/>
  <c r="X16" i="18"/>
  <c r="AJ8" i="18"/>
  <c r="R40" i="18"/>
  <c r="AD16" i="18"/>
  <c r="AD40" i="18"/>
  <c r="R32" i="18"/>
  <c r="L32" i="18"/>
  <c r="J28" i="18"/>
  <c r="AH12" i="18"/>
  <c r="J12" i="18"/>
  <c r="V20" i="18"/>
  <c r="V12" i="18"/>
  <c r="AH20" i="18"/>
  <c r="V36" i="18"/>
  <c r="AH36" i="18"/>
  <c r="AH44" i="18"/>
  <c r="AB36" i="18"/>
  <c r="AB44" i="18"/>
  <c r="P44" i="18"/>
  <c r="J20" i="18"/>
  <c r="N61" i="1"/>
  <c r="P12" i="18"/>
  <c r="AB12" i="18"/>
  <c r="J36" i="18"/>
  <c r="P28" i="18"/>
  <c r="V44" i="18"/>
  <c r="M61" i="1"/>
  <c r="J44" i="18"/>
  <c r="P36" i="18"/>
  <c r="AH28" i="18"/>
  <c r="AB28" i="18"/>
  <c r="P20" i="18"/>
  <c r="AB20" i="18"/>
  <c r="V28" i="18"/>
  <c r="N22" i="1"/>
  <c r="M22" i="1"/>
  <c r="AB22" i="1" s="1"/>
  <c r="AA22" i="1" s="1"/>
  <c r="AF6" i="18"/>
  <c r="Z30" i="18"/>
  <c r="N6" i="18"/>
  <c r="Z38" i="18"/>
  <c r="T14" i="18"/>
  <c r="AL22" i="18"/>
  <c r="AL30" i="18"/>
  <c r="AF30" i="18"/>
  <c r="N22" i="18"/>
  <c r="AF38" i="18"/>
  <c r="Z6" i="18"/>
  <c r="Z14" i="18"/>
  <c r="N14" i="18"/>
  <c r="T38" i="18"/>
  <c r="AL38" i="18"/>
  <c r="T22" i="18"/>
  <c r="AF22" i="18"/>
  <c r="AF14" i="18"/>
  <c r="Z22" i="18"/>
  <c r="AL14" i="18"/>
  <c r="T6" i="18"/>
  <c r="N30" i="18"/>
  <c r="AL6" i="18"/>
  <c r="T30" i="18"/>
  <c r="N38" i="18"/>
  <c r="AH32" i="18"/>
  <c r="V24" i="18"/>
  <c r="J8" i="18"/>
  <c r="V32" i="18"/>
  <c r="AB40" i="18"/>
  <c r="AH8" i="18"/>
  <c r="AB8" i="18"/>
  <c r="N28" i="1"/>
  <c r="V8" i="18"/>
  <c r="AB24" i="18"/>
  <c r="AH40" i="18"/>
  <c r="V40" i="18"/>
  <c r="M28" i="1"/>
  <c r="AB28" i="1" s="1"/>
  <c r="AA28" i="1" s="1"/>
  <c r="P40" i="18"/>
  <c r="J32" i="18"/>
  <c r="P16" i="18"/>
  <c r="P32" i="18"/>
  <c r="AB32" i="18"/>
  <c r="AB16" i="18"/>
  <c r="P24" i="18"/>
  <c r="V16" i="18"/>
  <c r="J16" i="18"/>
  <c r="J24" i="18"/>
  <c r="AH24" i="18"/>
  <c r="AH16" i="18"/>
  <c r="P8" i="18"/>
  <c r="J40" i="18"/>
  <c r="P6" i="18"/>
  <c r="J30" i="18"/>
  <c r="P38" i="18"/>
  <c r="V38" i="18"/>
  <c r="M10" i="1"/>
  <c r="AB10" i="1" s="1"/>
  <c r="AA10" i="1" s="1"/>
  <c r="J38" i="18"/>
  <c r="AB6" i="18"/>
  <c r="P22" i="18"/>
  <c r="J22" i="18"/>
  <c r="P14" i="18"/>
  <c r="V30" i="18"/>
  <c r="AH30" i="18"/>
  <c r="V6" i="18"/>
  <c r="J6" i="18"/>
  <c r="V14" i="18"/>
  <c r="N10" i="1"/>
  <c r="AH14" i="18"/>
  <c r="AB14" i="18"/>
  <c r="AB30" i="18"/>
  <c r="AH22" i="18"/>
  <c r="AB38" i="18"/>
  <c r="V22" i="18"/>
  <c r="AH6" i="18"/>
  <c r="AH38" i="18"/>
  <c r="J14" i="18"/>
  <c r="AB22" i="18"/>
  <c r="P30" i="18"/>
  <c r="M16" i="1"/>
  <c r="AB16" i="1" s="1"/>
  <c r="AA16" i="1" s="1"/>
  <c r="N16" i="1"/>
  <c r="X6" i="18"/>
  <c r="AJ38" i="18"/>
  <c r="X30" i="18"/>
  <c r="AJ6" i="18"/>
  <c r="X38" i="18"/>
  <c r="AD6" i="18"/>
  <c r="R6" i="18"/>
  <c r="X22" i="18"/>
  <c r="L6" i="18"/>
  <c r="R22" i="18"/>
  <c r="L38" i="18"/>
  <c r="L14" i="18"/>
  <c r="R38" i="18"/>
  <c r="AJ30" i="18"/>
  <c r="L30" i="18"/>
  <c r="AD22" i="18"/>
  <c r="X14" i="18"/>
  <c r="AJ14" i="18"/>
  <c r="AD30" i="18"/>
  <c r="AJ22" i="18"/>
  <c r="L22" i="18"/>
  <c r="AD14" i="18"/>
  <c r="R30" i="18"/>
  <c r="AD38" i="18"/>
  <c r="R14" i="18"/>
  <c r="AC16" i="1" l="1"/>
  <c r="AB47" i="19"/>
  <c r="AH7" i="19"/>
  <c r="P17" i="19"/>
  <c r="AB7" i="19"/>
  <c r="AH37" i="19"/>
  <c r="J37" i="19"/>
  <c r="V37" i="19"/>
  <c r="V7" i="19"/>
  <c r="J47" i="19"/>
  <c r="J7" i="19"/>
  <c r="AB37" i="19"/>
  <c r="AB27" i="19"/>
  <c r="V17" i="19"/>
  <c r="AH47" i="19"/>
  <c r="J17" i="19"/>
  <c r="AH27" i="19"/>
  <c r="V27" i="19"/>
  <c r="P37" i="19"/>
  <c r="P7" i="19"/>
  <c r="J27" i="19"/>
  <c r="AH17" i="19"/>
  <c r="P47" i="19"/>
  <c r="AB17" i="19"/>
  <c r="V47" i="19"/>
  <c r="P27" i="19"/>
  <c r="V50" i="19"/>
  <c r="AH20" i="19"/>
  <c r="V40" i="19"/>
  <c r="J50" i="19"/>
  <c r="AH10" i="19"/>
  <c r="V20" i="19"/>
  <c r="AH50" i="19"/>
  <c r="AH30" i="19"/>
  <c r="J40" i="19"/>
  <c r="P50" i="19"/>
  <c r="AB20" i="19"/>
  <c r="AB10" i="19"/>
  <c r="V30" i="19"/>
  <c r="AH40" i="19"/>
  <c r="AB40" i="19"/>
  <c r="P20" i="19"/>
  <c r="AB50" i="19"/>
  <c r="J30" i="19"/>
  <c r="AC34" i="1"/>
  <c r="J10" i="19"/>
  <c r="AB30" i="19"/>
  <c r="P40" i="19"/>
  <c r="V10" i="19"/>
  <c r="P10" i="19"/>
  <c r="P30" i="19"/>
  <c r="J20" i="19"/>
  <c r="V9" i="19"/>
  <c r="P39" i="19"/>
  <c r="J19" i="19"/>
  <c r="P19" i="19"/>
  <c r="AB9" i="19"/>
  <c r="J9" i="19"/>
  <c r="V39" i="19"/>
  <c r="P29" i="19"/>
  <c r="P49" i="19"/>
  <c r="J29" i="19"/>
  <c r="AH49" i="19"/>
  <c r="V29" i="19"/>
  <c r="AC28" i="1"/>
  <c r="V19" i="19"/>
  <c r="J49" i="19"/>
  <c r="AB29" i="19"/>
  <c r="P9" i="19"/>
  <c r="AH19" i="19"/>
  <c r="AH9" i="19"/>
  <c r="AH29" i="19"/>
  <c r="AB49" i="19"/>
  <c r="AB39" i="19"/>
  <c r="AB19" i="19"/>
  <c r="AH39" i="19"/>
  <c r="J39" i="19"/>
  <c r="V49" i="19"/>
  <c r="V48" i="19"/>
  <c r="P8" i="19"/>
  <c r="AB28" i="19"/>
  <c r="J48" i="19"/>
  <c r="J18" i="19"/>
  <c r="J28" i="19"/>
  <c r="J38" i="19"/>
  <c r="AH48" i="19"/>
  <c r="P18" i="19"/>
  <c r="V18" i="19"/>
  <c r="AC22" i="1"/>
  <c r="P48" i="19"/>
  <c r="P38" i="19"/>
  <c r="V28" i="19"/>
  <c r="AH28" i="19"/>
  <c r="V38" i="19"/>
  <c r="V8" i="19"/>
  <c r="AB38" i="19"/>
  <c r="AB8" i="19"/>
  <c r="AB48" i="19"/>
  <c r="AB18" i="19"/>
  <c r="AH8" i="19"/>
  <c r="P28" i="19"/>
  <c r="AH18" i="19"/>
  <c r="J8" i="19"/>
  <c r="AH38" i="19"/>
  <c r="AB46" i="19"/>
  <c r="AH46" i="19"/>
  <c r="P6" i="19"/>
  <c r="AH16" i="19"/>
  <c r="AB6" i="19"/>
  <c r="V16" i="19"/>
  <c r="J46" i="19"/>
  <c r="P26" i="19"/>
  <c r="P36" i="19"/>
  <c r="AB26" i="19"/>
  <c r="AH26" i="19"/>
  <c r="AH36" i="19"/>
  <c r="P46" i="19"/>
  <c r="AB16" i="19"/>
  <c r="V26" i="19"/>
  <c r="AC10" i="1"/>
  <c r="V36" i="19"/>
  <c r="P16" i="19"/>
  <c r="AH6" i="19"/>
  <c r="V6" i="19"/>
  <c r="J6" i="19"/>
  <c r="J36" i="19"/>
  <c r="V46" i="19"/>
  <c r="AB36" i="19"/>
  <c r="J26" i="19"/>
  <c r="J1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<sst xmlns="http://schemas.openxmlformats.org/spreadsheetml/2006/main" count="440" uniqueCount="274">
  <si>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</si>
  <si>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</si>
  <si>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</si>
  <si>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</si>
  <si>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</si>
  <si>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</si>
  <si>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</si>
  <si>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</si>
  <si>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</si>
  <si>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</si>
  <si>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</si>
  <si>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</si>
  <si>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</si>
  <si>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</si>
  <si>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</si>
  <si>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</si>
  <si>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</si>
  <si>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</si>
  <si>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</si>
  <si>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</si>
  <si>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</si>
  <si>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</si>
  <si>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</si>
  <si>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</si>
  <si>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</si>
  <si>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</si>
  <si>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</si>
  <si>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</si>
  <si>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</si>
  <si>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</si>
  <si>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</si>
  <si>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</si>
  <si>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</si>
  <si>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</si>
  <si>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</si>
  <si>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</si>
  <si>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</si>
  <si>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</si>
  <si>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</si>
  <si>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</si>
  <si>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</si>
  <si>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</si>
  <si>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</si>
  <si>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</si>
  <si>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</si>
  <si>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</si>
  <si>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</si>
  <si>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</si>
  <si>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</si>
  <si>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</si>
  <si>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</si>
  <si>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</si>
  <si>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</si>
  <si>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</si>
  <si>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</si>
  <si>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</si>
  <si>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</si>
  <si>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</si>
  <si>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</si>
  <si>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</si>
  <si>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</si>
  <si>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</si>
  <si>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</si>
  <si>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</si>
  <si>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</si>
  <si>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</si>
  <si>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</si>
  <si>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</si>
  <si>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</si>
  <si>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</si>
  <si>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</si>
  <si>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</si>
  <si>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</si>
  <si>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</si>
  <si>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</si>
  <si>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</si>
  <si>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</si>
  <si>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</si>
  <si>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</si>
  <si>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</si>
  <si>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</si>
  <si>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</si>
  <si>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</si>
  <si>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</si>
  <si>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</si>
  <si>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</si>
  <si>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</si>
  <si>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</si>
  <si>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</si>
  <si>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</si>
  <si>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</si>
  <si>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</si>
  <si>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</si>
  <si>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</si>
  <si>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</si>
  <si>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</si>
  <si>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</si>
  <si>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</si>
  <si>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</si>
  <si>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</si>
  <si>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</si>
  <si>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</si>
  <si>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</si>
  <si>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</si>
  <si>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</si>
  <si>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</si>
  <si>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</si>
  <si>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</si>
  <si>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</si>
  <si>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</si>
  <si>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</si>
  <si>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</si>
  <si>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</si>
  <si>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</si>
  <si>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</si>
  <si>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</si>
  <si>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</si>
  <si>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</si>
  <si>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</si>
  <si>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</si>
  <si>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</si>
  <si>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</si>
  <si>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</si>
  <si>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</si>
  <si>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</si>
  <si>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</si>
  <si>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</si>
  <si>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</si>
  <si>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</si>
  <si>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</si>
  <si>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</si>
  <si>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</si>
  <si>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</si>
  <si>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</si>
  <si>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</si>
  <si>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</si>
  <si>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</si>
  <si>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</si>
  <si>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</si>
  <si>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</si>
  <si>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</si>
  <si>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</si>
  <si>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</si>
  <si>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</si>
  <si>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</si>
  <si>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</si>
  <si>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</si>
  <si>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</si>
  <si>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</si>
  <si>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</si>
  <si>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</si>
  <si>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</si>
  <si>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</si>
  <si>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</si>
  <si>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</si>
  <si>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</si>
  <si>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</si>
  <si>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</si>
  <si>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</si>
  <si>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</si>
  <si>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</si>
  <si>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</si>
  <si>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</si>
  <si>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</si>
  <si>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</si>
  <si>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</si>
  <si>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</si>
  <si>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</si>
  <si>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</si>
  <si>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</si>
  <si>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</si>
  <si>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</si>
  <si>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</si>
  <si>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</si>
  <si>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</si>
  <si>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</si>
  <si>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</si>
  <si>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</si>
  <si>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</si>
  <si>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</si>
  <si>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</si>
  <si>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</si>
  <si>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</si>
  <si>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</si>
  <si>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</si>
  <si>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</si>
  <si>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</si>
  <si>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</si>
  <si>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</si>
  <si>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</si>
  <si>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</si>
  <si>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</si>
  <si>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</si>
  <si>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</si>
  <si>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</si>
  <si>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</si>
  <si>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</si>
  <si>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</si>
  <si>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</si>
  <si>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</si>
  <si>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</si>
  <si>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</si>
  <si>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</si>
  <si>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</si>
  <si>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</si>
  <si>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</si>
  <si>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</si>
  <si>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</si>
  <si>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</si>
  <si>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</si>
  <si>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</si>
  <si>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</si>
  <si>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SEGUIMIENTO</t>
  </si>
  <si>
    <t>Permanente</t>
  </si>
  <si>
    <t>GESTIÓN COBRO PERSUASIVO Y COACTIVO</t>
  </si>
  <si>
    <t>Falta de implementación de un proceso  de registro de pagos de las obligaciones a favor de la AMB diferentes a valorización</t>
  </si>
  <si>
    <t xml:space="preserve">Falta de archivadores independientes idóneos para garantizar la conservación y custodia documental de cobro  coactivo </t>
  </si>
  <si>
    <t xml:space="preserve">Falta de insumos para continuar con las etapas procesales. </t>
  </si>
  <si>
    <r>
      <t xml:space="preserve">Establecer el procedimiento para el trámite del proceso administrativo de cobro coactivo en su etapa coactiva en el Área Metropolitana de Bucaramanga </t>
    </r>
    <r>
      <rPr>
        <sz val="11"/>
        <color theme="1"/>
        <rFont val="Arial"/>
        <family val="2"/>
      </rPr>
      <t>AMB, para el cobro de las acreencias que constituyan obligaciones a favor de la entidad</t>
    </r>
  </si>
  <si>
    <t>Este procedimiento inicia con el auto de avoca conocimiento, previa constitución del título ejecutivo por el profesional universitario de cobro persuasivo, documento(s) el cual debe ser claro, expreso y exigible, y a su vez respalde las obligaciones a favor del AMB.</t>
  </si>
  <si>
    <t>Posibilidad de un daño economico y reputacional de la Pérdida documental y de expedientes</t>
  </si>
  <si>
    <t>Mensual</t>
  </si>
  <si>
    <t xml:space="preserve">2. SUBDIRECTORA ADMINISTRATIVA Y FINANCIERA </t>
  </si>
  <si>
    <t xml:space="preserve">  Falta de espacio, falta de archivadores y/o adapatacion de los mismos que brinden seguirdad.</t>
  </si>
  <si>
    <t xml:space="preserve">Falta de personal de apoyo suficiente e idóneo y con experiencia en cobro coactivo. </t>
  </si>
  <si>
    <t xml:space="preserve">
Personal contratado insuficiente y no idóneo con falta de experiencia en trámite de procesos administrativos de cobro coactivo para el alto número de expedientes coactivos demás actividades propias de la dependencia..</t>
  </si>
  <si>
    <t>Posibilidad de un daño reputacional de la Información Financiera deficiente</t>
  </si>
  <si>
    <t xml:space="preserve">
Falta de sistematización de recaudos  por conceptos diferentes a valorizacion</t>
  </si>
  <si>
    <t>Posibilidad de un daño economico y reputacional de la Falta de celeridad y oportunidad en el trámite de los procesos y demás actividades propias de la dependencia.</t>
  </si>
  <si>
    <t>Posibilidad de un daño economico y reputacional en la  dificultad para el seguimiento de las actuaciones procesales y trámite oportuno de los procesos.</t>
  </si>
  <si>
    <t>Posibilidad de un daño economico y reputacional del no cobro de la obligación y/o prescripción del proceso.</t>
  </si>
  <si>
    <t xml:space="preserve">Generación de relación mensual de consignaciones que presenta el deudor.                                             </t>
  </si>
  <si>
    <t>2.Gestionar la implementación del proceso de registro de pago,identificando decudor,cedula,expediente</t>
  </si>
  <si>
    <t>Seguimiento</t>
  </si>
  <si>
    <t xml:space="preserve"> 
 SUBDIRECTOR ADMINISTRATIVO Y FINANCIERO</t>
  </si>
  <si>
    <t xml:space="preserve"> Gestión para la implementacion del proceso de registro de pago,identificando el nombre del deudor,cedula, valor pagado y expediente.</t>
  </si>
  <si>
    <t xml:space="preserve">Adquirir y suministrar los insumos y elementos requeridos para el desarrollo del proceso </t>
  </si>
  <si>
    <t>MAPA DE RIESGOS
AREA METROPOLITANA DE BUCARAMANGA
VIGENCIA 2024</t>
  </si>
  <si>
    <t>Contratar el personal requerido .</t>
  </si>
  <si>
    <t xml:space="preserve">1. Reporte mensual de recaudo por concepto de procesos administrativos de cobro coactivo diferentes a valorización en etapas  persuasiva y coactiva.   </t>
  </si>
  <si>
    <r>
      <t>Suministrar los insumos y elementos de trabajo necesarios para el debido trámite de los</t>
    </r>
    <r>
      <rPr>
        <sz val="12"/>
        <rFont val="Arial Narrow"/>
        <family val="2"/>
      </rPr>
      <t xml:space="preserve"> procesos administrativos de cobro coactivo y gestionar el parqueadero para la disposicion de vehiculos</t>
    </r>
  </si>
  <si>
    <t xml:space="preserve">Ajuste de Archivadores </t>
  </si>
  <si>
    <r>
      <t xml:space="preserve">.
Contratar personal y suministro del mismo suficiente, idóneo y con experiencia en procesos </t>
    </r>
    <r>
      <rPr>
        <sz val="10"/>
        <rFont val="Arial Narrow"/>
        <family val="2"/>
      </rPr>
      <t xml:space="preserve">administrativos de cobro coactivo. 
</t>
    </r>
  </si>
  <si>
    <t xml:space="preserve"> 
 SUBDIRECTOR ADMINISTRATIVO Y FINANCIERO / Direccion  /Secretaria General (contratacion)</t>
  </si>
  <si>
    <t xml:space="preserve"> 
 SUBDIRECTOR ADMINISTRATIVO Y FINANCIERO / DIRECCION </t>
  </si>
  <si>
    <t xml:space="preserve">Realizar Ajuste de Archivadores </t>
  </si>
  <si>
    <t>Falta de sistematización de los procesos administrativos de cobro coactivo en etapa coactiva</t>
  </si>
  <si>
    <t xml:space="preserve">
Dar  continuidad a la implementación, ajustes y cargue de información de la plataforma BPM para la sistematización de los procesos coactivos conforme a las necesidades de los mismos.</t>
  </si>
  <si>
    <t>Continuar con la implementación de la Plataforma INTEGRASOFT Y BPM,  que  permite registrar la información de los expedientes administrativos de cobro coactivo pendientes por dichas actividades.</t>
  </si>
  <si>
    <t>Suministrar personal diferente a los abogados de apoyo para los procesos de cobro coactivo y realizar los ajustes respectivos en la plataforma</t>
  </si>
  <si>
    <t xml:space="preserve"> 
 SUBDIRECTOR
 ADMINISTRATIVO Y FINANCIERO</t>
  </si>
  <si>
    <r>
      <rPr>
        <b/>
        <sz val="12"/>
        <rFont val="Arial Narrow"/>
        <family val="2"/>
      </rPr>
      <t>COACTIVO</t>
    </r>
    <r>
      <rPr>
        <sz val="12"/>
        <rFont val="Arial Narrow"/>
        <family val="2"/>
      </rPr>
      <t xml:space="preserve">
EVIDENCIAS: </t>
    </r>
    <r>
      <rPr>
        <b/>
        <sz val="12"/>
        <rFont val="Arial Narrow"/>
        <family val="2"/>
      </rPr>
      <t xml:space="preserve">RIESGO 1.1.: </t>
    </r>
    <r>
      <rPr>
        <sz val="12"/>
        <rFont val="Arial Narrow"/>
        <family val="2"/>
      </rPr>
      <t xml:space="preserve">
1.1.1. -1.1.2. - 1.1.3. -1.1.4. - 1.1.5. -1.1.6. -1.1.7. - 1.1.8. -1.1.9. -1.1.10. - 1.1.11. - 1.1.12. - 1.1.13. - 1.1.14. y 1.1.15. </t>
    </r>
    <r>
      <rPr>
        <b/>
        <sz val="12"/>
        <rFont val="Arial Narrow"/>
        <family val="2"/>
      </rPr>
      <t>OBSERVACIÓN PROFESIONAL UNIV</t>
    </r>
    <r>
      <rPr>
        <sz val="12"/>
        <rFont val="Arial Narrow"/>
        <family val="2"/>
      </rPr>
      <t xml:space="preserve">. No se adjuntan evidencias de consignaciones realizadas por deudores en abril 2024, pues se solicitó el informe con corte 29 de abril y el reporte se hace mes vencido los primeros días de mayo de 2024. 
</t>
    </r>
    <r>
      <rPr>
        <b/>
        <sz val="12"/>
        <rFont val="Arial Narrow"/>
        <family val="2"/>
      </rPr>
      <t xml:space="preserve">PERSUASIVO </t>
    </r>
    <r>
      <rPr>
        <sz val="12"/>
        <rFont val="Arial Narrow"/>
        <family val="2"/>
      </rPr>
      <t xml:space="preserve">
El profesional universitario de cobro persuasivo emite un reporte mensual a contabilidad en el cual relaciona los pagos realizados y allegados por deudores a la dependencia, teniendo en cuenta que al momento de presentado el presente informe no se ha realizado el corte del mes de abril, éste se remitira en proximo informe. se adjunta evidencia No. 1
</t>
    </r>
  </si>
  <si>
    <r>
      <t xml:space="preserve">EVIDENCIAS RIESGO 2. 
2.1. - 2.2. - 2.3. - 2.4. y 2.5.
</t>
    </r>
    <r>
      <rPr>
        <b/>
        <sz val="12"/>
        <color rgb="FFFF0000"/>
        <rFont val="Arial Narrow"/>
        <family val="2"/>
      </rPr>
      <t xml:space="preserve">
</t>
    </r>
    <r>
      <rPr>
        <b/>
        <sz val="12"/>
        <rFont val="Arial Narrow"/>
        <family val="2"/>
      </rPr>
      <t xml:space="preserve">
</t>
    </r>
  </si>
  <si>
    <t xml:space="preserve">No aplica para este periodo </t>
  </si>
  <si>
    <r>
      <rPr>
        <b/>
        <sz val="12"/>
        <rFont val="Arial Narrow"/>
        <family val="2"/>
      </rPr>
      <t xml:space="preserve">EVIDENCIAS RIESGO 4. 
4.1. - 4.2. - 4.3. - 4.4. - 4.5. - 4.6. - 4.7. y 4.8.
</t>
    </r>
    <r>
      <rPr>
        <sz val="12"/>
        <rFont val="Arial Narrow"/>
        <family val="2"/>
      </rPr>
      <t xml:space="preserve">
</t>
    </r>
  </si>
  <si>
    <t xml:space="preserve"> 
 SUBDIRECTOR ADMINISTRATIVO Y FINANCIERO / Profesional Sistemas</t>
  </si>
  <si>
    <t xml:space="preserve">Para este periodo No aplica
</t>
  </si>
  <si>
    <t>EVIDENCIAS RIESGO 1.2.</t>
  </si>
  <si>
    <t>SEGUIMIENTO PRIMER CUATRIMESTRE 2024 
- OFICINA DE CONTROL INTERNO</t>
  </si>
  <si>
    <t xml:space="preserve">% CUMPLIMIENTO </t>
  </si>
  <si>
    <t>EVIDENCIA</t>
  </si>
  <si>
    <t xml:space="preserve">SEGUIMIENTO </t>
  </si>
  <si>
    <t xml:space="preserve">% AVANCE  </t>
  </si>
  <si>
    <t>Formatos manuales y correos de reporte de pagos y/o consignaciones de recaudos en los meses de enero, febrero y marzo de 2024</t>
  </si>
  <si>
    <t xml:space="preserve">No se reportaron evidencias </t>
  </si>
  <si>
    <t>Se reitera lo señalado para la actividad 1 (fila anterior).</t>
  </si>
  <si>
    <t>NA</t>
  </si>
  <si>
    <t>No contar la entidad con los insumos necearios para continuar con las etapas procesales (parqueaderos, materiales y equipos)</t>
  </si>
  <si>
    <t>No se reportó evidencia que de alcance al plan</t>
  </si>
  <si>
    <t>Actas de inicio de cinco (5) contratos de apoyo</t>
  </si>
  <si>
    <t>Programada para seguimiento en tercer cuatrimestre.
Fecha de implementación del plan incoherente, debe ser posterior a las fechas de seguimiento.
Se requiere actualizar la (s) fechas de seguimiento.</t>
  </si>
  <si>
    <t>Se aportan como evidencia correos electronicos de solicitudes a la dirección general a fin de atender las necesidades de insumos requeridos para dar cumplimiento a las etapas procesales de cobro, sin embargo, el plan de acción establece la adquisición y suministro material de tales insumos, no las solicitudes.  No se evidencia cumplimiento.  
El control es deficiente y permite la materialización del riesgo.  El riesgo es reiterativo desde las dos (2) últimas vigencias sin que la alta dirección intervenga en su tratamiento.
Fecha de implementación del plan incoherente, debe ser posterior a las fechas de seguimiento.
Se requiere actualizar la (s) fechas de seguimiento.</t>
  </si>
  <si>
    <t>Se encontraron actas de inicio de personal profesional de apoyo para el cobro coativo.  No se logra establecer mediante la evidencia, si tal personal ataca la causa raiz del riesgo relacionada con la falta de idoneidad y experiencia en la materia.
Fecha de implementación del plan incoherente, debe ser posterior a las fechas de seguimiento.
Se requiere actualizar la (s) fechas de seguimiento.</t>
  </si>
  <si>
    <t>La causa raiz establecida para el riesgo señala falta de sistematización de recaudos, no obstante, el plan de acción se enfoca en reportes mensuales de recaudo.  No existe coherencia; es decir, las acciones propuestas no atacan las causas que generan la posibilidad de materialización del riesgo.  El riesgo no se ataca.  Incluso, el control establecido también refiere reportes mensuales, omitiendo la causa raiz.  No existe coherencia entre la idenfificación, el análisis, la evaluación y el tratamiento del riesgo, por lo cual, el control resulta ineficiente frente a la causa señalada.  Se requiere reformular el control, a fin que se atienda la causa raiz establecida.
Fecha de implementación del plan incoherente, debe ser posterior a las fechas de seguimiento.
Se requiere actualizar la (s) fechas de seguimiento, dado que, una fecha de 2024-12-31 establece seguimiento para el tercer cuatrimestre, lo que, riñe con el plan de acción propuesto, con la evaluación del riesgo y el control mismo establecido.  En adición, se realiza seguimiento en el primer cuatrimestre, dado que fueron reportadas evidencias.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</si>
</sst>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2"/>
      <color theme="0"/>
      <name val="Arial Narrow"/>
      <family val="2"/>
    </font>
    <font>
      <b/>
      <sz val="11"/>
      <color theme="0"/>
      <name val="Arial Narrow"/>
      <family val="2"/>
    </font>
    <font>
      <b/>
      <sz val="14"/>
      <color theme="0"/>
      <name val="Arial Narrow"/>
      <family val="2"/>
    </font>
    <font>
      <sz val="11"/>
      <color rgb="FF000000"/>
      <name val="Arial"/>
      <family val="2"/>
    </font>
    <font>
      <sz val="11"/>
      <color theme="1"/>
      <name val="Arial"/>
      <family val="2"/>
    </font>
    <font>
      <sz val="12"/>
      <name val="Arial Narrow"/>
      <family val="2"/>
    </font>
    <font>
      <b/>
      <sz val="12"/>
      <color rgb="FFFF0000"/>
      <name val="Arial Narrow"/>
      <family val="2"/>
    </font>
    <font>
      <b/>
      <sz val="16"/>
      <color theme="0"/>
      <name val="Arial Narrow"/>
      <family val="2"/>
    </font>
    <font>
      <b/>
      <sz val="16"/>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4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8" fillId="7" borderId="2" xfId="0" applyFont="1" applyFill="1" applyBorder="1" applyAlignment="1">
      <alignment horizontal="center" vertical="center" textRotation="9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62"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center" wrapText="1"/>
      <protection hidden="1"/>
    </xf>
    <xf numFmtId="0" fontId="62" fillId="0" borderId="2" xfId="0" applyFont="1" applyBorder="1" applyAlignment="1" applyProtection="1">
      <alignment horizontal="justify" vertical="top" wrapText="1"/>
      <protection locked="0"/>
    </xf>
    <xf numFmtId="0" fontId="34" fillId="0" borderId="2" xfId="0" applyFont="1" applyBorder="1" applyAlignment="1" applyProtection="1">
      <alignment horizontal="justify" vertical="center" wrapText="1"/>
      <protection locked="0"/>
    </xf>
    <xf numFmtId="0" fontId="62" fillId="0" borderId="2" xfId="0" applyFont="1" applyFill="1" applyBorder="1" applyAlignment="1" applyProtection="1">
      <alignment horizontal="justify" vertical="center" wrapText="1"/>
      <protection locked="0"/>
    </xf>
    <xf numFmtId="0" fontId="43" fillId="0" borderId="2" xfId="0" applyFont="1" applyFill="1" applyBorder="1" applyAlignment="1" applyProtection="1">
      <alignment horizontal="justify" vertical="center" wrapText="1"/>
      <protection locked="0"/>
    </xf>
    <xf numFmtId="0" fontId="43" fillId="0" borderId="2" xfId="0" applyFont="1" applyBorder="1" applyAlignment="1" applyProtection="1">
      <alignment horizontal="justify" vertical="center" wrapText="1"/>
      <protection locked="0"/>
    </xf>
    <xf numFmtId="0" fontId="1" fillId="16" borderId="2" xfId="0" applyFont="1" applyFill="1" applyBorder="1" applyAlignment="1">
      <alignment horizontal="justify" vertical="center" wrapText="1"/>
    </xf>
    <xf numFmtId="0" fontId="1" fillId="16" borderId="2" xfId="0" applyFont="1" applyFill="1" applyBorder="1" applyAlignment="1">
      <alignment horizontal="center" vertical="center" wrapText="1"/>
    </xf>
    <xf numFmtId="9" fontId="1" fillId="16" borderId="2" xfId="1" applyFont="1" applyFill="1" applyBorder="1" applyAlignment="1">
      <alignment horizontal="center"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1" xfId="0" applyFont="1" applyBorder="1" applyAlignment="1">
      <alignment horizontal="center" vertical="center" wrapText="1"/>
    </xf>
    <xf numFmtId="0" fontId="57" fillId="7" borderId="29" xfId="0" applyFont="1" applyFill="1" applyBorder="1" applyAlignment="1">
      <alignment horizontal="center" vertical="center" wrapText="1"/>
    </xf>
    <xf numFmtId="0" fontId="57" fillId="7" borderId="29" xfId="0" applyFont="1" applyFill="1" applyBorder="1" applyAlignment="1">
      <alignment horizontal="center" vertical="center"/>
    </xf>
    <xf numFmtId="0" fontId="57" fillId="7" borderId="30" xfId="0" applyFont="1" applyFill="1" applyBorder="1" applyAlignment="1">
      <alignment horizontal="center" vertical="center"/>
    </xf>
    <xf numFmtId="0" fontId="57" fillId="7" borderId="31" xfId="0" applyFont="1" applyFill="1" applyBorder="1" applyAlignment="1">
      <alignment horizontal="center" vertical="center"/>
    </xf>
    <xf numFmtId="0" fontId="57" fillId="7" borderId="32" xfId="0" applyFont="1" applyFill="1" applyBorder="1" applyAlignment="1">
      <alignment horizontal="center" vertical="center"/>
    </xf>
    <xf numFmtId="0" fontId="65" fillId="3" borderId="6" xfId="0" applyFont="1" applyFill="1" applyBorder="1" applyAlignment="1" applyProtection="1">
      <alignment horizontal="left" vertical="center"/>
      <protection locked="0"/>
    </xf>
    <xf numFmtId="0" fontId="65" fillId="3" borderId="10" xfId="0" applyFont="1" applyFill="1" applyBorder="1" applyAlignment="1" applyProtection="1">
      <alignment horizontal="left" vertical="center"/>
      <protection locked="0"/>
    </xf>
    <xf numFmtId="0" fontId="65"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58" fillId="7" borderId="6" xfId="0" applyFont="1" applyFill="1" applyBorder="1" applyAlignment="1">
      <alignment horizontal="center" vertical="center"/>
    </xf>
    <xf numFmtId="0" fontId="58" fillId="7" borderId="10" xfId="0" applyFont="1" applyFill="1" applyBorder="1" applyAlignment="1">
      <alignment horizontal="center" vertical="center"/>
    </xf>
    <xf numFmtId="0" fontId="58" fillId="7" borderId="7" xfId="0" applyFont="1" applyFill="1" applyBorder="1" applyAlignment="1">
      <alignment horizontal="center" vertical="center"/>
    </xf>
    <xf numFmtId="0" fontId="64" fillId="7" borderId="6" xfId="0" applyFont="1" applyFill="1" applyBorder="1" applyAlignment="1">
      <alignment horizontal="left" vertical="center"/>
    </xf>
    <xf numFmtId="0" fontId="64" fillId="7" borderId="7" xfId="0" applyFont="1" applyFill="1" applyBorder="1" applyAlignment="1">
      <alignment horizontal="left" vertical="center"/>
    </xf>
    <xf numFmtId="0" fontId="60" fillId="0" borderId="9" xfId="0" applyFont="1" applyBorder="1" applyAlignment="1">
      <alignment horizontal="left" vertical="center" wrapText="1"/>
    </xf>
    <xf numFmtId="0" fontId="60" fillId="0" borderId="0" xfId="0" applyFont="1" applyBorder="1" applyAlignment="1">
      <alignment horizontal="left" vertical="center" wrapText="1"/>
    </xf>
    <xf numFmtId="0" fontId="61" fillId="0" borderId="3" xfId="0" applyFont="1" applyBorder="1" applyAlignment="1">
      <alignment horizontal="left" vertical="center" wrapText="1"/>
    </xf>
    <xf numFmtId="0" fontId="61" fillId="0" borderId="31"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59" fillId="7" borderId="4" xfId="0" applyFont="1" applyFill="1" applyBorder="1" applyAlignment="1">
      <alignment horizontal="center" vertical="center" textRotation="90"/>
    </xf>
    <xf numFmtId="0" fontId="59" fillId="7" borderId="5" xfId="0" applyFont="1" applyFill="1" applyBorder="1" applyAlignment="1">
      <alignment horizontal="center" vertical="center" textRotation="90"/>
    </xf>
    <xf numFmtId="0" fontId="58" fillId="7" borderId="4" xfId="0" applyFont="1" applyFill="1" applyBorder="1" applyAlignment="1">
      <alignment horizontal="center" vertical="center" wrapText="1"/>
    </xf>
    <xf numFmtId="0" fontId="58" fillId="7" borderId="5" xfId="0" applyFont="1" applyFill="1" applyBorder="1" applyAlignment="1">
      <alignment horizontal="center" vertical="center" wrapText="1"/>
    </xf>
    <xf numFmtId="0" fontId="58" fillId="7" borderId="2" xfId="0" applyFont="1" applyFill="1" applyBorder="1" applyAlignment="1">
      <alignment horizontal="center" vertical="center" wrapText="1"/>
    </xf>
    <xf numFmtId="0" fontId="58" fillId="7" borderId="2" xfId="0" applyFont="1" applyFill="1" applyBorder="1" applyAlignment="1">
      <alignment horizontal="center" vertical="center"/>
    </xf>
    <xf numFmtId="0" fontId="59" fillId="7" borderId="2" xfId="0" applyFont="1" applyFill="1" applyBorder="1" applyAlignment="1">
      <alignment horizontal="center" vertical="center" wrapText="1"/>
    </xf>
    <xf numFmtId="0" fontId="58" fillId="7" borderId="2" xfId="0" applyFont="1" applyFill="1" applyBorder="1" applyAlignment="1">
      <alignment horizontal="center" vertical="center" textRotation="90" wrapText="1"/>
    </xf>
    <xf numFmtId="0" fontId="58" fillId="7" borderId="4" xfId="0" applyFont="1" applyFill="1" applyBorder="1" applyAlignment="1">
      <alignment horizontal="center" vertical="center" textRotation="90" wrapText="1"/>
    </xf>
    <xf numFmtId="0" fontId="58" fillId="7" borderId="5" xfId="0" applyFont="1" applyFill="1" applyBorder="1" applyAlignment="1">
      <alignment horizontal="center" vertical="center" textRotation="90" wrapText="1"/>
    </xf>
    <xf numFmtId="0" fontId="58" fillId="7" borderId="9" xfId="0" applyFont="1" applyFill="1" applyBorder="1" applyAlignment="1">
      <alignment horizontal="center" vertical="center" wrapText="1"/>
    </xf>
    <xf numFmtId="0" fontId="58" fillId="7" borderId="3" xfId="0" applyFont="1" applyFill="1" applyBorder="1" applyAlignment="1">
      <alignment horizontal="center" vertical="center"/>
    </xf>
    <xf numFmtId="0" fontId="58" fillId="7" borderId="9" xfId="0" applyFont="1" applyFill="1" applyBorder="1" applyAlignment="1">
      <alignment horizontal="center" vertical="center"/>
    </xf>
    <xf numFmtId="0" fontId="4" fillId="16" borderId="6"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58" fillId="7" borderId="8" xfId="0" applyFont="1" applyFill="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9" xfId="0" applyFont="1" applyBorder="1" applyAlignment="1">
      <alignment horizontal="center" vertical="center" wrapText="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5" fillId="0" borderId="0" xfId="0" applyFont="1" applyAlignment="1">
      <alignment horizontal="center"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42" fillId="0" borderId="19" xfId="0" applyFont="1" applyBorder="1" applyAlignment="1">
      <alignment horizontal="center" vertical="center" wrapText="1"/>
    </xf>
    <xf numFmtId="0" fontId="24"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10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37" zoomScale="110" zoomScaleNormal="110" workbookViewId="0">
      <selection activeCell="E19" sqref="E19:F19"/>
    </sheetView>
  </sheetViews>
  <sheetFormatPr baseColWidth="10" defaultColWidth="11.42578125"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191" t="s">
        <v>164</v>
      </c>
      <c r="C2" s="192"/>
      <c r="D2" s="192"/>
      <c r="E2" s="192"/>
      <c r="F2" s="192"/>
      <c r="G2" s="192"/>
      <c r="H2" s="193"/>
    </row>
    <row r="3" spans="2:8" x14ac:dyDescent="0.25">
      <c r="B3" s="83"/>
      <c r="C3" s="84"/>
      <c r="D3" s="84"/>
      <c r="E3" s="84"/>
      <c r="F3" s="84"/>
      <c r="G3" s="84"/>
      <c r="H3" s="85"/>
    </row>
    <row r="4" spans="2:8" ht="63" customHeight="1" x14ac:dyDescent="0.25">
      <c r="B4" s="194" t="s">
        <v>207</v>
      </c>
      <c r="C4" s="195"/>
      <c r="D4" s="195"/>
      <c r="E4" s="195"/>
      <c r="F4" s="195"/>
      <c r="G4" s="195"/>
      <c r="H4" s="196"/>
    </row>
    <row r="5" spans="2:8" ht="63" customHeight="1" x14ac:dyDescent="0.25">
      <c r="B5" s="197"/>
      <c r="C5" s="198"/>
      <c r="D5" s="198"/>
      <c r="E5" s="198"/>
      <c r="F5" s="198"/>
      <c r="G5" s="198"/>
      <c r="H5" s="199"/>
    </row>
    <row r="6" spans="2:8" ht="16.5" x14ac:dyDescent="0.25">
      <c r="B6" s="200" t="s">
        <v>162</v>
      </c>
      <c r="C6" s="201"/>
      <c r="D6" s="201"/>
      <c r="E6" s="201"/>
      <c r="F6" s="201"/>
      <c r="G6" s="201"/>
      <c r="H6" s="202"/>
    </row>
    <row r="7" spans="2:8" ht="95.25" customHeight="1" x14ac:dyDescent="0.25">
      <c r="B7" s="210" t="s">
        <v>167</v>
      </c>
      <c r="C7" s="211"/>
      <c r="D7" s="211"/>
      <c r="E7" s="211"/>
      <c r="F7" s="211"/>
      <c r="G7" s="211"/>
      <c r="H7" s="212"/>
    </row>
    <row r="8" spans="2:8" ht="16.5" x14ac:dyDescent="0.25">
      <c r="B8" s="119"/>
      <c r="C8" s="120"/>
      <c r="D8" s="120"/>
      <c r="E8" s="120"/>
      <c r="F8" s="120"/>
      <c r="G8" s="120"/>
      <c r="H8" s="121"/>
    </row>
    <row r="9" spans="2:8" ht="16.5" customHeight="1" x14ac:dyDescent="0.25">
      <c r="B9" s="203" t="s">
        <v>200</v>
      </c>
      <c r="C9" s="204"/>
      <c r="D9" s="204"/>
      <c r="E9" s="204"/>
      <c r="F9" s="204"/>
      <c r="G9" s="204"/>
      <c r="H9" s="205"/>
    </row>
    <row r="10" spans="2:8" ht="44.25" customHeight="1" x14ac:dyDescent="0.25">
      <c r="B10" s="203"/>
      <c r="C10" s="204"/>
      <c r="D10" s="204"/>
      <c r="E10" s="204"/>
      <c r="F10" s="204"/>
      <c r="G10" s="204"/>
      <c r="H10" s="205"/>
    </row>
    <row r="11" spans="2:8" ht="15.75" thickBot="1" x14ac:dyDescent="0.3">
      <c r="B11" s="108"/>
      <c r="C11" s="111"/>
      <c r="D11" s="116"/>
      <c r="E11" s="117"/>
      <c r="F11" s="117"/>
      <c r="G11" s="118"/>
      <c r="H11" s="112"/>
    </row>
    <row r="12" spans="2:8" ht="15.75" thickTop="1" x14ac:dyDescent="0.25">
      <c r="B12" s="108"/>
      <c r="C12" s="206" t="s">
        <v>163</v>
      </c>
      <c r="D12" s="207"/>
      <c r="E12" s="208" t="s">
        <v>201</v>
      </c>
      <c r="F12" s="209"/>
      <c r="G12" s="111"/>
      <c r="H12" s="112"/>
    </row>
    <row r="13" spans="2:8" ht="35.25" customHeight="1" x14ac:dyDescent="0.25">
      <c r="B13" s="108"/>
      <c r="C13" s="178" t="s">
        <v>194</v>
      </c>
      <c r="D13" s="179"/>
      <c r="E13" s="180" t="s">
        <v>199</v>
      </c>
      <c r="F13" s="181"/>
      <c r="G13" s="111"/>
      <c r="H13" s="112"/>
    </row>
    <row r="14" spans="2:8" ht="17.25" customHeight="1" x14ac:dyDescent="0.25">
      <c r="B14" s="108"/>
      <c r="C14" s="178" t="s">
        <v>195</v>
      </c>
      <c r="D14" s="179"/>
      <c r="E14" s="180" t="s">
        <v>197</v>
      </c>
      <c r="F14" s="181"/>
      <c r="G14" s="111"/>
      <c r="H14" s="112"/>
    </row>
    <row r="15" spans="2:8" ht="19.5" customHeight="1" x14ac:dyDescent="0.25">
      <c r="B15" s="108"/>
      <c r="C15" s="178" t="s">
        <v>196</v>
      </c>
      <c r="D15" s="179"/>
      <c r="E15" s="180" t="s">
        <v>198</v>
      </c>
      <c r="F15" s="181"/>
      <c r="G15" s="111"/>
      <c r="H15" s="112"/>
    </row>
    <row r="16" spans="2:8" ht="69.75" customHeight="1" x14ac:dyDescent="0.25">
      <c r="B16" s="108"/>
      <c r="C16" s="178" t="s">
        <v>165</v>
      </c>
      <c r="D16" s="179"/>
      <c r="E16" s="180" t="s">
        <v>166</v>
      </c>
      <c r="F16" s="181"/>
      <c r="G16" s="111"/>
      <c r="H16" s="112"/>
    </row>
    <row r="17" spans="2:8" ht="34.5" customHeight="1" x14ac:dyDescent="0.25">
      <c r="B17" s="108"/>
      <c r="C17" s="182" t="s">
        <v>2</v>
      </c>
      <c r="D17" s="183"/>
      <c r="E17" s="174" t="s">
        <v>208</v>
      </c>
      <c r="F17" s="175"/>
      <c r="G17" s="111"/>
      <c r="H17" s="112"/>
    </row>
    <row r="18" spans="2:8" ht="27.75" customHeight="1" x14ac:dyDescent="0.25">
      <c r="B18" s="108"/>
      <c r="C18" s="182" t="s">
        <v>3</v>
      </c>
      <c r="D18" s="183"/>
      <c r="E18" s="174" t="s">
        <v>209</v>
      </c>
      <c r="F18" s="175"/>
      <c r="G18" s="111"/>
      <c r="H18" s="112"/>
    </row>
    <row r="19" spans="2:8" ht="28.5" customHeight="1" x14ac:dyDescent="0.25">
      <c r="B19" s="108"/>
      <c r="C19" s="182" t="s">
        <v>41</v>
      </c>
      <c r="D19" s="183"/>
      <c r="E19" s="174" t="s">
        <v>210</v>
      </c>
      <c r="F19" s="175"/>
      <c r="G19" s="111"/>
      <c r="H19" s="112"/>
    </row>
    <row r="20" spans="2:8" ht="72.75" customHeight="1" x14ac:dyDescent="0.25">
      <c r="B20" s="108"/>
      <c r="C20" s="182" t="s">
        <v>1</v>
      </c>
      <c r="D20" s="183"/>
      <c r="E20" s="174" t="s">
        <v>211</v>
      </c>
      <c r="F20" s="175"/>
      <c r="G20" s="111"/>
      <c r="H20" s="112"/>
    </row>
    <row r="21" spans="2:8" ht="64.5" customHeight="1" x14ac:dyDescent="0.25">
      <c r="B21" s="108"/>
      <c r="C21" s="182" t="s">
        <v>49</v>
      </c>
      <c r="D21" s="183"/>
      <c r="E21" s="174" t="s">
        <v>169</v>
      </c>
      <c r="F21" s="175"/>
      <c r="G21" s="111"/>
      <c r="H21" s="112"/>
    </row>
    <row r="22" spans="2:8" ht="71.25" customHeight="1" x14ac:dyDescent="0.25">
      <c r="B22" s="108"/>
      <c r="C22" s="182" t="s">
        <v>168</v>
      </c>
      <c r="D22" s="183"/>
      <c r="E22" s="174" t="s">
        <v>170</v>
      </c>
      <c r="F22" s="175"/>
      <c r="G22" s="111"/>
      <c r="H22" s="112"/>
    </row>
    <row r="23" spans="2:8" ht="55.5" customHeight="1" x14ac:dyDescent="0.25">
      <c r="B23" s="108"/>
      <c r="C23" s="176" t="s">
        <v>171</v>
      </c>
      <c r="D23" s="177"/>
      <c r="E23" s="174" t="s">
        <v>172</v>
      </c>
      <c r="F23" s="175"/>
      <c r="G23" s="111"/>
      <c r="H23" s="112"/>
    </row>
    <row r="24" spans="2:8" ht="42" customHeight="1" x14ac:dyDescent="0.25">
      <c r="B24" s="108"/>
      <c r="C24" s="176" t="s">
        <v>47</v>
      </c>
      <c r="D24" s="177"/>
      <c r="E24" s="174" t="s">
        <v>173</v>
      </c>
      <c r="F24" s="175"/>
      <c r="G24" s="111"/>
      <c r="H24" s="112"/>
    </row>
    <row r="25" spans="2:8" ht="59.25" customHeight="1" x14ac:dyDescent="0.25">
      <c r="B25" s="108"/>
      <c r="C25" s="176" t="s">
        <v>161</v>
      </c>
      <c r="D25" s="177"/>
      <c r="E25" s="174" t="s">
        <v>174</v>
      </c>
      <c r="F25" s="175"/>
      <c r="G25" s="111"/>
      <c r="H25" s="112"/>
    </row>
    <row r="26" spans="2:8" ht="23.25" customHeight="1" x14ac:dyDescent="0.25">
      <c r="B26" s="108"/>
      <c r="C26" s="176" t="s">
        <v>12</v>
      </c>
      <c r="D26" s="177"/>
      <c r="E26" s="174" t="s">
        <v>175</v>
      </c>
      <c r="F26" s="175"/>
      <c r="G26" s="111"/>
      <c r="H26" s="112"/>
    </row>
    <row r="27" spans="2:8" ht="30.75" customHeight="1" x14ac:dyDescent="0.25">
      <c r="B27" s="108"/>
      <c r="C27" s="176" t="s">
        <v>179</v>
      </c>
      <c r="D27" s="177"/>
      <c r="E27" s="174" t="s">
        <v>176</v>
      </c>
      <c r="F27" s="175"/>
      <c r="G27" s="111"/>
      <c r="H27" s="112"/>
    </row>
    <row r="28" spans="2:8" ht="35.25" customHeight="1" x14ac:dyDescent="0.25">
      <c r="B28" s="108"/>
      <c r="C28" s="176" t="s">
        <v>180</v>
      </c>
      <c r="D28" s="177"/>
      <c r="E28" s="174" t="s">
        <v>177</v>
      </c>
      <c r="F28" s="175"/>
      <c r="G28" s="111"/>
      <c r="H28" s="112"/>
    </row>
    <row r="29" spans="2:8" ht="33" customHeight="1" x14ac:dyDescent="0.25">
      <c r="B29" s="108"/>
      <c r="C29" s="176" t="s">
        <v>180</v>
      </c>
      <c r="D29" s="177"/>
      <c r="E29" s="174" t="s">
        <v>177</v>
      </c>
      <c r="F29" s="175"/>
      <c r="G29" s="111"/>
      <c r="H29" s="112"/>
    </row>
    <row r="30" spans="2:8" ht="30" customHeight="1" x14ac:dyDescent="0.25">
      <c r="B30" s="108"/>
      <c r="C30" s="176" t="s">
        <v>181</v>
      </c>
      <c r="D30" s="177"/>
      <c r="E30" s="174" t="s">
        <v>178</v>
      </c>
      <c r="F30" s="175"/>
      <c r="G30" s="111"/>
      <c r="H30" s="112"/>
    </row>
    <row r="31" spans="2:8" ht="35.25" customHeight="1" x14ac:dyDescent="0.25">
      <c r="B31" s="108"/>
      <c r="C31" s="176" t="s">
        <v>182</v>
      </c>
      <c r="D31" s="177"/>
      <c r="E31" s="174" t="s">
        <v>183</v>
      </c>
      <c r="F31" s="175"/>
      <c r="G31" s="111"/>
      <c r="H31" s="112"/>
    </row>
    <row r="32" spans="2:8" ht="31.5" customHeight="1" x14ac:dyDescent="0.25">
      <c r="B32" s="108"/>
      <c r="C32" s="176" t="s">
        <v>184</v>
      </c>
      <c r="D32" s="177"/>
      <c r="E32" s="174" t="s">
        <v>185</v>
      </c>
      <c r="F32" s="175"/>
      <c r="G32" s="111"/>
      <c r="H32" s="112"/>
    </row>
    <row r="33" spans="2:8" ht="35.25" customHeight="1" x14ac:dyDescent="0.25">
      <c r="B33" s="108"/>
      <c r="C33" s="176" t="s">
        <v>186</v>
      </c>
      <c r="D33" s="177"/>
      <c r="E33" s="174" t="s">
        <v>187</v>
      </c>
      <c r="F33" s="175"/>
      <c r="G33" s="111"/>
      <c r="H33" s="112"/>
    </row>
    <row r="34" spans="2:8" ht="59.25" customHeight="1" x14ac:dyDescent="0.25">
      <c r="B34" s="108"/>
      <c r="C34" s="176" t="s">
        <v>188</v>
      </c>
      <c r="D34" s="177"/>
      <c r="E34" s="174" t="s">
        <v>189</v>
      </c>
      <c r="F34" s="175"/>
      <c r="G34" s="111"/>
      <c r="H34" s="112"/>
    </row>
    <row r="35" spans="2:8" ht="29.25" customHeight="1" x14ac:dyDescent="0.25">
      <c r="B35" s="108"/>
      <c r="C35" s="176" t="s">
        <v>29</v>
      </c>
      <c r="D35" s="177"/>
      <c r="E35" s="174" t="s">
        <v>190</v>
      </c>
      <c r="F35" s="175"/>
      <c r="G35" s="111"/>
      <c r="H35" s="112"/>
    </row>
    <row r="36" spans="2:8" ht="82.5" customHeight="1" x14ac:dyDescent="0.25">
      <c r="B36" s="108"/>
      <c r="C36" s="176" t="s">
        <v>192</v>
      </c>
      <c r="D36" s="177"/>
      <c r="E36" s="174" t="s">
        <v>191</v>
      </c>
      <c r="F36" s="175"/>
      <c r="G36" s="111"/>
      <c r="H36" s="112"/>
    </row>
    <row r="37" spans="2:8" ht="46.5" customHeight="1" x14ac:dyDescent="0.25">
      <c r="B37" s="108"/>
      <c r="C37" s="176" t="s">
        <v>38</v>
      </c>
      <c r="D37" s="177"/>
      <c r="E37" s="174" t="s">
        <v>193</v>
      </c>
      <c r="F37" s="175"/>
      <c r="G37" s="111"/>
      <c r="H37" s="112"/>
    </row>
    <row r="38" spans="2:8" ht="6.75" customHeight="1" thickBot="1" x14ac:dyDescent="0.3">
      <c r="B38" s="108"/>
      <c r="C38" s="187"/>
      <c r="D38" s="188"/>
      <c r="E38" s="189"/>
      <c r="F38" s="190"/>
      <c r="G38" s="111"/>
      <c r="H38" s="112"/>
    </row>
    <row r="39" spans="2:8" ht="15.75" thickTop="1" x14ac:dyDescent="0.25">
      <c r="B39" s="108"/>
      <c r="C39" s="109"/>
      <c r="D39" s="109"/>
      <c r="E39" s="110"/>
      <c r="F39" s="110"/>
      <c r="G39" s="111"/>
      <c r="H39" s="112"/>
    </row>
    <row r="40" spans="2:8" ht="21" customHeight="1" x14ac:dyDescent="0.25">
      <c r="B40" s="184" t="s">
        <v>202</v>
      </c>
      <c r="C40" s="185"/>
      <c r="D40" s="185"/>
      <c r="E40" s="185"/>
      <c r="F40" s="185"/>
      <c r="G40" s="185"/>
      <c r="H40" s="186"/>
    </row>
    <row r="41" spans="2:8" ht="20.25" customHeight="1" x14ac:dyDescent="0.25">
      <c r="B41" s="184" t="s">
        <v>203</v>
      </c>
      <c r="C41" s="185"/>
      <c r="D41" s="185"/>
      <c r="E41" s="185"/>
      <c r="F41" s="185"/>
      <c r="G41" s="185"/>
      <c r="H41" s="186"/>
    </row>
    <row r="42" spans="2:8" ht="20.25" customHeight="1" x14ac:dyDescent="0.25">
      <c r="B42" s="184" t="s">
        <v>204</v>
      </c>
      <c r="C42" s="185"/>
      <c r="D42" s="185"/>
      <c r="E42" s="185"/>
      <c r="F42" s="185"/>
      <c r="G42" s="185"/>
      <c r="H42" s="186"/>
    </row>
    <row r="43" spans="2:8" ht="20.25" customHeight="1" x14ac:dyDescent="0.25">
      <c r="B43" s="184" t="s">
        <v>205</v>
      </c>
      <c r="C43" s="185"/>
      <c r="D43" s="185"/>
      <c r="E43" s="185"/>
      <c r="F43" s="185"/>
      <c r="G43" s="185"/>
      <c r="H43" s="186"/>
    </row>
    <row r="44" spans="2:8" x14ac:dyDescent="0.25">
      <c r="B44" s="184" t="s">
        <v>206</v>
      </c>
      <c r="C44" s="185"/>
      <c r="D44" s="185"/>
      <c r="E44" s="185"/>
      <c r="F44" s="185"/>
      <c r="G44" s="185"/>
      <c r="H44" s="186"/>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69"/>
  <sheetViews>
    <sheetView tabSelected="1" topLeftCell="A4" zoomScaleNormal="100" workbookViewId="0">
      <pane xSplit="5" ySplit="6" topLeftCell="AE10" activePane="bottomRight" state="frozen"/>
      <selection activeCell="A4" sqref="A4"/>
      <selection pane="topRight" activeCell="F4" sqref="F4"/>
      <selection pane="bottomLeft" activeCell="A10" sqref="A10"/>
      <selection pane="bottomRight" activeCell="J81" sqref="J81"/>
    </sheetView>
  </sheetViews>
  <sheetFormatPr baseColWidth="10" defaultColWidth="11.42578125" defaultRowHeight="16.5" x14ac:dyDescent="0.3"/>
  <cols>
    <col min="1" max="1" width="4" style="2" bestFit="1" customWidth="1"/>
    <col min="2" max="2" width="13.42578125" style="2" customWidth="1"/>
    <col min="3" max="4" width="15.7109375" style="2" customWidth="1"/>
    <col min="5" max="5" width="15.71093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42578125" style="1" customWidth="1"/>
    <col min="12" max="12" width="17.5703125" style="1" customWidth="1"/>
    <col min="13" max="13" width="6.28515625" style="1" bestFit="1" customWidth="1"/>
    <col min="14" max="14" width="16" style="1" customWidth="1"/>
    <col min="15" max="15" width="5.85546875" style="1" customWidth="1"/>
    <col min="16" max="16" width="39.28515625"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11.8554687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4.42578125" style="1" customWidth="1"/>
    <col min="32" max="32" width="14" style="1" hidden="1" customWidth="1"/>
    <col min="33" max="33" width="24.28515625" style="1" customWidth="1"/>
    <col min="34" max="34" width="15.7109375" style="1" customWidth="1"/>
    <col min="35" max="35" width="12.28515625" style="1" customWidth="1"/>
    <col min="36" max="36" width="33" style="1" customWidth="1"/>
    <col min="37" max="37" width="17.42578125" style="1" customWidth="1"/>
    <col min="38" max="38" width="15" style="1" customWidth="1"/>
    <col min="39" max="39" width="23.140625" style="1" customWidth="1"/>
    <col min="40" max="40" width="47.28515625" style="1" customWidth="1"/>
    <col min="41" max="16384" width="11.42578125" style="1"/>
  </cols>
  <sheetData>
    <row r="1" spans="1:69" ht="16.5" customHeight="1" x14ac:dyDescent="0.3">
      <c r="A1" s="213"/>
      <c r="B1" s="214"/>
      <c r="C1" s="214"/>
      <c r="D1" s="214"/>
      <c r="E1" s="217" t="s">
        <v>237</v>
      </c>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9"/>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9" customHeight="1" x14ac:dyDescent="0.3">
      <c r="A2" s="215"/>
      <c r="B2" s="216"/>
      <c r="C2" s="216"/>
      <c r="D2" s="216"/>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1"/>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4.95" customHeight="1" x14ac:dyDescent="0.3">
      <c r="A4" s="229" t="s">
        <v>42</v>
      </c>
      <c r="B4" s="230"/>
      <c r="C4" s="222" t="s">
        <v>214</v>
      </c>
      <c r="D4" s="223"/>
      <c r="E4" s="223"/>
      <c r="F4" s="223"/>
      <c r="G4" s="223"/>
      <c r="H4" s="223"/>
      <c r="I4" s="223"/>
      <c r="J4" s="223"/>
      <c r="K4" s="223"/>
      <c r="L4" s="223"/>
      <c r="M4" s="223"/>
      <c r="N4" s="224"/>
      <c r="O4" s="225"/>
      <c r="P4" s="225"/>
      <c r="Q4" s="225"/>
      <c r="R4" s="7"/>
      <c r="S4" s="7"/>
      <c r="T4" s="7"/>
      <c r="U4" s="7"/>
      <c r="V4" s="7"/>
      <c r="W4" s="7"/>
      <c r="X4" s="7"/>
      <c r="Y4" s="7"/>
      <c r="Z4" s="7"/>
      <c r="AA4" s="7"/>
      <c r="AB4" s="7"/>
      <c r="AC4" s="7"/>
      <c r="AD4" s="7"/>
      <c r="AE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24.95" customHeight="1" x14ac:dyDescent="0.3">
      <c r="A5" s="229" t="s">
        <v>129</v>
      </c>
      <c r="B5" s="230"/>
      <c r="C5" s="231" t="s">
        <v>218</v>
      </c>
      <c r="D5" s="232"/>
      <c r="E5" s="232"/>
      <c r="F5" s="232"/>
      <c r="G5" s="232"/>
      <c r="H5" s="232"/>
      <c r="I5" s="232"/>
      <c r="J5" s="232"/>
      <c r="K5" s="232"/>
      <c r="L5" s="232"/>
      <c r="M5" s="232"/>
      <c r="N5" s="232"/>
      <c r="O5" s="232"/>
      <c r="P5" s="232"/>
      <c r="Q5" s="7"/>
      <c r="R5" s="7"/>
      <c r="S5" s="7"/>
      <c r="T5" s="7"/>
      <c r="U5" s="7"/>
      <c r="V5" s="7"/>
      <c r="W5" s="7"/>
      <c r="X5" s="7"/>
      <c r="Y5" s="7"/>
      <c r="Z5" s="7"/>
      <c r="AA5" s="7"/>
      <c r="AB5" s="7"/>
      <c r="AC5" s="7"/>
      <c r="AD5" s="7"/>
      <c r="AE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4.95" customHeight="1" x14ac:dyDescent="0.3">
      <c r="A6" s="229" t="s">
        <v>43</v>
      </c>
      <c r="B6" s="230"/>
      <c r="C6" s="233" t="s">
        <v>219</v>
      </c>
      <c r="D6" s="234"/>
      <c r="E6" s="234"/>
      <c r="F6" s="234"/>
      <c r="G6" s="234"/>
      <c r="H6" s="234"/>
      <c r="I6" s="234"/>
      <c r="J6" s="234"/>
      <c r="K6" s="234"/>
      <c r="L6" s="234"/>
      <c r="M6" s="234"/>
      <c r="N6" s="234"/>
      <c r="O6" s="234"/>
      <c r="P6" s="234"/>
      <c r="Q6" s="7"/>
      <c r="R6" s="7"/>
      <c r="S6" s="7"/>
      <c r="T6" s="7"/>
      <c r="U6" s="7"/>
      <c r="V6" s="7"/>
      <c r="W6" s="7"/>
      <c r="X6" s="7"/>
      <c r="Y6" s="7"/>
      <c r="Z6" s="7"/>
      <c r="AA6" s="7"/>
      <c r="AB6" s="7"/>
      <c r="AC6" s="7"/>
      <c r="AD6" s="7"/>
      <c r="AE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35.25" customHeight="1" x14ac:dyDescent="0.3">
      <c r="A7" s="226" t="s">
        <v>138</v>
      </c>
      <c r="B7" s="227"/>
      <c r="C7" s="227"/>
      <c r="D7" s="227"/>
      <c r="E7" s="227"/>
      <c r="F7" s="227"/>
      <c r="G7" s="228"/>
      <c r="H7" s="226" t="s">
        <v>139</v>
      </c>
      <c r="I7" s="227"/>
      <c r="J7" s="227"/>
      <c r="K7" s="227"/>
      <c r="L7" s="227"/>
      <c r="M7" s="227"/>
      <c r="N7" s="228"/>
      <c r="O7" s="226" t="s">
        <v>140</v>
      </c>
      <c r="P7" s="227"/>
      <c r="Q7" s="227"/>
      <c r="R7" s="227"/>
      <c r="S7" s="227"/>
      <c r="T7" s="227"/>
      <c r="U7" s="227"/>
      <c r="V7" s="227"/>
      <c r="W7" s="228"/>
      <c r="X7" s="226" t="s">
        <v>141</v>
      </c>
      <c r="Y7" s="227"/>
      <c r="Z7" s="227"/>
      <c r="AA7" s="227"/>
      <c r="AB7" s="227"/>
      <c r="AC7" s="227"/>
      <c r="AD7" s="228"/>
      <c r="AE7" s="226" t="s">
        <v>34</v>
      </c>
      <c r="AF7" s="227"/>
      <c r="AG7" s="227"/>
      <c r="AH7" s="227"/>
      <c r="AI7" s="227"/>
      <c r="AJ7" s="227"/>
      <c r="AK7" s="228"/>
      <c r="AL7" s="290" t="s">
        <v>258</v>
      </c>
      <c r="AM7" s="291"/>
      <c r="AN7" s="292"/>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77" t="s">
        <v>0</v>
      </c>
      <c r="B8" s="282" t="s">
        <v>2</v>
      </c>
      <c r="C8" s="280" t="s">
        <v>3</v>
      </c>
      <c r="D8" s="280" t="s">
        <v>41</v>
      </c>
      <c r="E8" s="280" t="s">
        <v>1</v>
      </c>
      <c r="F8" s="279" t="s">
        <v>49</v>
      </c>
      <c r="G8" s="280" t="s">
        <v>134</v>
      </c>
      <c r="H8" s="294" t="s">
        <v>33</v>
      </c>
      <c r="I8" s="289" t="s">
        <v>5</v>
      </c>
      <c r="J8" s="279" t="s">
        <v>86</v>
      </c>
      <c r="K8" s="279" t="s">
        <v>91</v>
      </c>
      <c r="L8" s="287" t="s">
        <v>44</v>
      </c>
      <c r="M8" s="289" t="s">
        <v>5</v>
      </c>
      <c r="N8" s="280" t="s">
        <v>47</v>
      </c>
      <c r="O8" s="285" t="s">
        <v>11</v>
      </c>
      <c r="P8" s="281" t="s">
        <v>161</v>
      </c>
      <c r="Q8" s="279" t="s">
        <v>12</v>
      </c>
      <c r="R8" s="281" t="s">
        <v>8</v>
      </c>
      <c r="S8" s="281"/>
      <c r="T8" s="281"/>
      <c r="U8" s="281"/>
      <c r="V8" s="281"/>
      <c r="W8" s="281"/>
      <c r="X8" s="284" t="s">
        <v>137</v>
      </c>
      <c r="Y8" s="284" t="s">
        <v>45</v>
      </c>
      <c r="Z8" s="284" t="s">
        <v>5</v>
      </c>
      <c r="AA8" s="284" t="s">
        <v>46</v>
      </c>
      <c r="AB8" s="284" t="s">
        <v>5</v>
      </c>
      <c r="AC8" s="284" t="s">
        <v>48</v>
      </c>
      <c r="AD8" s="285" t="s">
        <v>29</v>
      </c>
      <c r="AE8" s="281" t="s">
        <v>34</v>
      </c>
      <c r="AF8" s="281" t="s">
        <v>212</v>
      </c>
      <c r="AG8" s="281" t="s">
        <v>35</v>
      </c>
      <c r="AH8" s="281" t="s">
        <v>36</v>
      </c>
      <c r="AI8" s="281" t="s">
        <v>37</v>
      </c>
      <c r="AJ8" s="283" t="s">
        <v>233</v>
      </c>
      <c r="AK8" s="281" t="s">
        <v>38</v>
      </c>
      <c r="AL8" s="290" t="s">
        <v>259</v>
      </c>
      <c r="AM8" s="290" t="s">
        <v>260</v>
      </c>
      <c r="AN8" s="293" t="s">
        <v>261</v>
      </c>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50.25" customHeight="1" x14ac:dyDescent="0.25">
      <c r="A9" s="278"/>
      <c r="B9" s="282"/>
      <c r="C9" s="281"/>
      <c r="D9" s="281"/>
      <c r="E9" s="281"/>
      <c r="F9" s="280"/>
      <c r="G9" s="281"/>
      <c r="H9" s="280"/>
      <c r="I9" s="288"/>
      <c r="J9" s="280"/>
      <c r="K9" s="280"/>
      <c r="L9" s="288"/>
      <c r="M9" s="288"/>
      <c r="N9" s="281"/>
      <c r="O9" s="286"/>
      <c r="P9" s="281"/>
      <c r="Q9" s="280"/>
      <c r="R9" s="137" t="s">
        <v>13</v>
      </c>
      <c r="S9" s="137" t="s">
        <v>17</v>
      </c>
      <c r="T9" s="137" t="s">
        <v>28</v>
      </c>
      <c r="U9" s="137" t="s">
        <v>18</v>
      </c>
      <c r="V9" s="137" t="s">
        <v>21</v>
      </c>
      <c r="W9" s="137" t="s">
        <v>24</v>
      </c>
      <c r="X9" s="284"/>
      <c r="Y9" s="284"/>
      <c r="Z9" s="284"/>
      <c r="AA9" s="284"/>
      <c r="AB9" s="284"/>
      <c r="AC9" s="284"/>
      <c r="AD9" s="286"/>
      <c r="AE9" s="281"/>
      <c r="AF9" s="281"/>
      <c r="AG9" s="281"/>
      <c r="AH9" s="281"/>
      <c r="AI9" s="281"/>
      <c r="AJ9" s="283"/>
      <c r="AK9" s="281"/>
      <c r="AL9" s="290" t="s">
        <v>262</v>
      </c>
      <c r="AM9" s="290" t="s">
        <v>260</v>
      </c>
      <c r="AN9" s="293"/>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409.5" customHeight="1" x14ac:dyDescent="0.25">
      <c r="A10" s="244">
        <v>1</v>
      </c>
      <c r="B10" s="247" t="s">
        <v>131</v>
      </c>
      <c r="C10" s="247" t="s">
        <v>215</v>
      </c>
      <c r="D10" s="253" t="s">
        <v>227</v>
      </c>
      <c r="E10" s="253" t="s">
        <v>226</v>
      </c>
      <c r="F10" s="247" t="s">
        <v>122</v>
      </c>
      <c r="G10" s="265">
        <v>60</v>
      </c>
      <c r="H10" s="268" t="str">
        <f>IF(G10&lt;=0,"",IF(G10&lt;=2,"Muy Baja",IF(G10&lt;=24,"Baja",IF(G10&lt;=500,"Media",IF(G10&lt;=5000,"Alta","Muy Alta")))))</f>
        <v>Media</v>
      </c>
      <c r="I10" s="271">
        <f>IF(H10="","",IF(H10="Muy Baja",0.2,IF(H10="Baja",0.4,IF(H10="Media",0.6,IF(H10="Alta",0.8,IF(H10="Muy Alta",1,))))))</f>
        <v>0.6</v>
      </c>
      <c r="J10" s="262" t="s">
        <v>154</v>
      </c>
      <c r="K10" s="271" t="str">
        <f ca="1">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68" t="str">
        <f ca="1">IF(OR(K10='Tabla Impacto'!$C$11,K10='Tabla Impacto'!$D$11),"Leve",IF(OR(K10='Tabla Impacto'!$C$12,K10='Tabla Impacto'!$D$12),"Menor",IF(OR(K10='Tabla Impacto'!$C$13,K10='Tabla Impacto'!$D$13),"Moderado",IF(OR(K10='Tabla Impacto'!$C$14,K10='Tabla Impacto'!$D$14),"Mayor",IF(OR(K10='Tabla Impacto'!$C$15,K10='Tabla Impacto'!$D$15),"Catastrófico","")))))</f>
        <v>Mayor</v>
      </c>
      <c r="M10" s="271">
        <f ca="1">IF(L10="","",IF(L10="Leve",0.2,IF(L10="Menor",0.4,IF(L10="Moderado",0.6,IF(L10="Mayor",0.8,IF(L10="Catastrófico",1,))))))</f>
        <v>0.8</v>
      </c>
      <c r="N10" s="27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46" t="s">
        <v>231</v>
      </c>
      <c r="Q10" s="138" t="str">
        <f>IF(OR(R10="Preventivo",R10="Detectivo"),"Probabilidad",IF(R10="Correctivo","Impacto",""))</f>
        <v>Probabilidad</v>
      </c>
      <c r="R10" s="139" t="s">
        <v>15</v>
      </c>
      <c r="S10" s="139" t="s">
        <v>9</v>
      </c>
      <c r="T10" s="140" t="str">
        <f>IF(AND(R10="Preventivo",S10="Automático"),"50%",IF(AND(R10="Preventivo",S10="Manual"),"40%",IF(AND(R10="Detectivo",S10="Automático"),"40%",IF(AND(R10="Detectivo",S10="Manual"),"30%",IF(AND(R10="Correctivo",S10="Automático"),"35%",IF(AND(R10="Correctivo",S10="Manual"),"25%",""))))))</f>
        <v>30%</v>
      </c>
      <c r="U10" s="139" t="s">
        <v>19</v>
      </c>
      <c r="V10" s="139" t="s">
        <v>22</v>
      </c>
      <c r="W10" s="139" t="s">
        <v>118</v>
      </c>
      <c r="X10" s="141">
        <f>IFERROR(IF(Q10="Probabilidad",(I10-(+I10*T10)),IF(Q10="Impacto",I10,"")),"")</f>
        <v>0.42</v>
      </c>
      <c r="Y10" s="142" t="str">
        <f>IFERROR(IF(X10="","",IF(X10&lt;=0.2,"Muy Baja",IF(X10&lt;=0.4,"Baja",IF(X10&lt;=0.6,"Media",IF(X10&lt;=0.8,"Alta","Muy Alta"))))),"")</f>
        <v>Media</v>
      </c>
      <c r="Z10" s="143">
        <f>+X10</f>
        <v>0.42</v>
      </c>
      <c r="AA10" s="142" t="str">
        <f ca="1">IFERROR(IF(AB10="","",IF(AB10&lt;=0.2,"Leve",IF(AB10&lt;=0.4,"Menor",IF(AB10&lt;=0.6,"Moderado",IF(AB10&lt;=0.8,"Mayor","Catastrófico"))))),"")</f>
        <v>Mayor</v>
      </c>
      <c r="AB10" s="143">
        <f ca="1">IFERROR(IF(Q10="Impacto",(M10-(+M10*T10)),IF(Q10="Probabilidad",M10,"")),"")</f>
        <v>0.8</v>
      </c>
      <c r="AC10" s="144"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5" t="s">
        <v>135</v>
      </c>
      <c r="AE10" s="161" t="s">
        <v>239</v>
      </c>
      <c r="AF10" s="146" t="s">
        <v>221</v>
      </c>
      <c r="AG10" s="161" t="s">
        <v>250</v>
      </c>
      <c r="AH10" s="147">
        <v>45292</v>
      </c>
      <c r="AI10" s="147">
        <v>45657</v>
      </c>
      <c r="AJ10" s="168" t="s">
        <v>251</v>
      </c>
      <c r="AK10" s="148" t="s">
        <v>40</v>
      </c>
      <c r="AL10" s="173">
        <v>0</v>
      </c>
      <c r="AM10" s="171" t="s">
        <v>263</v>
      </c>
      <c r="AN10" s="171" t="s">
        <v>273</v>
      </c>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01.25" customHeight="1" x14ac:dyDescent="0.3">
      <c r="A11" s="245"/>
      <c r="B11" s="248"/>
      <c r="C11" s="248"/>
      <c r="D11" s="254"/>
      <c r="E11" s="254"/>
      <c r="F11" s="248"/>
      <c r="G11" s="266"/>
      <c r="H11" s="269"/>
      <c r="I11" s="272"/>
      <c r="J11" s="263"/>
      <c r="K11" s="272">
        <f ca="1">IF(NOT(ISERROR(MATCH(J11,_xlfn.ANCHORARRAY(E22),0))),I24&amp;"Por favor no seleccionar los criterios de impacto",J11)</f>
        <v>0</v>
      </c>
      <c r="L11" s="269"/>
      <c r="M11" s="272"/>
      <c r="N11" s="275"/>
      <c r="O11" s="6">
        <v>2</v>
      </c>
      <c r="P11" s="146" t="s">
        <v>235</v>
      </c>
      <c r="Q11" s="138" t="s">
        <v>4</v>
      </c>
      <c r="R11" s="139" t="s">
        <v>15</v>
      </c>
      <c r="S11" s="139" t="s">
        <v>9</v>
      </c>
      <c r="T11" s="140">
        <v>0.3</v>
      </c>
      <c r="U11" s="139" t="s">
        <v>19</v>
      </c>
      <c r="V11" s="139" t="s">
        <v>22</v>
      </c>
      <c r="W11" s="139" t="s">
        <v>118</v>
      </c>
      <c r="X11" s="141">
        <v>0.42</v>
      </c>
      <c r="Y11" s="142" t="s">
        <v>106</v>
      </c>
      <c r="Z11" s="143">
        <v>0.42</v>
      </c>
      <c r="AA11" s="142" t="s">
        <v>7</v>
      </c>
      <c r="AB11" s="143">
        <v>0.8</v>
      </c>
      <c r="AC11" s="144" t="s">
        <v>79</v>
      </c>
      <c r="AD11" s="145" t="s">
        <v>135</v>
      </c>
      <c r="AE11" s="146" t="s">
        <v>232</v>
      </c>
      <c r="AF11" s="146" t="s">
        <v>221</v>
      </c>
      <c r="AG11" s="161" t="s">
        <v>234</v>
      </c>
      <c r="AH11" s="147">
        <v>45292</v>
      </c>
      <c r="AI11" s="147">
        <v>45657</v>
      </c>
      <c r="AJ11" s="170" t="s">
        <v>257</v>
      </c>
      <c r="AK11" s="148" t="s">
        <v>40</v>
      </c>
      <c r="AL11" s="173">
        <v>0</v>
      </c>
      <c r="AM11" s="171" t="s">
        <v>264</v>
      </c>
      <c r="AN11" s="171" t="s">
        <v>265</v>
      </c>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66" hidden="1" x14ac:dyDescent="0.3">
      <c r="A12" s="245"/>
      <c r="B12" s="248"/>
      <c r="C12" s="248"/>
      <c r="D12" s="254"/>
      <c r="E12" s="254"/>
      <c r="F12" s="248"/>
      <c r="G12" s="266"/>
      <c r="H12" s="269"/>
      <c r="I12" s="272"/>
      <c r="J12" s="263"/>
      <c r="K12" s="272">
        <f ca="1">IF(NOT(ISERROR(MATCH(J12,_xlfn.ANCHORARRAY(E23),0))),I25&amp;"Por favor no seleccionar los criterios de impacto",J12)</f>
        <v>0</v>
      </c>
      <c r="L12" s="269"/>
      <c r="M12" s="272"/>
      <c r="N12" s="275"/>
      <c r="O12" s="122">
        <v>3</v>
      </c>
      <c r="P12" s="135"/>
      <c r="Q12" s="124" t="str">
        <f>IF(OR(R12="Preventivo",R12="Detectivo"),"Probabilidad",IF(R12="Correctivo","Impacto",""))</f>
        <v/>
      </c>
      <c r="R12" s="125"/>
      <c r="S12" s="125"/>
      <c r="T12" s="126" t="str">
        <f t="shared" ref="T12:T15" si="0">IF(AND(R12="Preventivo",S12="Automático"),"50%",IF(AND(R12="Preventivo",S12="Manual"),"40%",IF(AND(R12="Detectivo",S12="Automático"),"40%",IF(AND(R12="Detectivo",S12="Manual"),"30%",IF(AND(R12="Correctivo",S12="Automático"),"35%",IF(AND(R12="Correctivo",S12="Manual"),"25%",""))))))</f>
        <v/>
      </c>
      <c r="U12" s="125"/>
      <c r="V12" s="125"/>
      <c r="W12" s="125"/>
      <c r="X12" s="127" t="str">
        <f>IFERROR(IF(AND(Q11="Probabilidad",Q12="Probabilidad"),(Z11-(+Z11*T12)),IF(AND(Q11="Impacto",Q12="Probabilidad"),(Z10-(+Z10*T12)),IF(Q12="Impacto",Z11,""))),"")</f>
        <v/>
      </c>
      <c r="Y12" s="128" t="str">
        <f t="shared" ref="Y12:Y66" si="1">IFERROR(IF(X12="","",IF(X12&lt;=0.2,"Muy Baja",IF(X12&lt;=0.4,"Baja",IF(X12&lt;=0.6,"Media",IF(X12&lt;=0.8,"Alta","Muy Alta"))))),"")</f>
        <v/>
      </c>
      <c r="Z12" s="129" t="str">
        <f t="shared" ref="Z12:Z15" si="2">+X12</f>
        <v/>
      </c>
      <c r="AA12" s="128" t="str">
        <f t="shared" ref="AA12:AA66" si="3">IFERROR(IF(AB12="","",IF(AB12&lt;=0.2,"Leve",IF(AB12&lt;=0.4,"Menor",IF(AB12&lt;=0.6,"Moderado",IF(AB12&lt;=0.8,"Mayor","Catastrófico"))))),"")</f>
        <v/>
      </c>
      <c r="AB12" s="129" t="str">
        <f>IFERROR(IF(AND(Q11="Impacto",Q12="Impacto"),(AB11-(+AB11*T12)),IF(AND(Q11="Probabilidad",Q12="Impacto"),(AB10-(+AB10*T12)),IF(Q12="Probabilidad",AB11,""))),"")</f>
        <v/>
      </c>
      <c r="AC12" s="130" t="str">
        <f t="shared" ref="AC12:AC15" si="4">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
      </c>
      <c r="AD12" s="131"/>
      <c r="AE12" s="146"/>
      <c r="AF12" s="146"/>
      <c r="AG12" s="161" t="s">
        <v>234</v>
      </c>
      <c r="AH12" s="134"/>
      <c r="AI12" s="134"/>
      <c r="AJ12" s="166"/>
      <c r="AK12" s="133"/>
      <c r="AL12" s="173"/>
      <c r="AM12" s="171"/>
      <c r="AN12" s="171"/>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66" hidden="1" x14ac:dyDescent="0.3">
      <c r="A13" s="245"/>
      <c r="B13" s="248"/>
      <c r="C13" s="248"/>
      <c r="D13" s="254"/>
      <c r="E13" s="254"/>
      <c r="F13" s="248"/>
      <c r="G13" s="266"/>
      <c r="H13" s="269"/>
      <c r="I13" s="272"/>
      <c r="J13" s="263"/>
      <c r="K13" s="272">
        <f ca="1">IF(NOT(ISERROR(MATCH(J13,_xlfn.ANCHORARRAY(E24),0))),I26&amp;"Por favor no seleccionar los criterios de impacto",J13)</f>
        <v>0</v>
      </c>
      <c r="L13" s="269"/>
      <c r="M13" s="272"/>
      <c r="N13" s="275"/>
      <c r="O13" s="122">
        <v>4</v>
      </c>
      <c r="P13" s="123"/>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46"/>
      <c r="AF13" s="146"/>
      <c r="AG13" s="161" t="s">
        <v>234</v>
      </c>
      <c r="AH13" s="134"/>
      <c r="AI13" s="134"/>
      <c r="AJ13" s="166"/>
      <c r="AK13" s="133"/>
      <c r="AL13" s="173"/>
      <c r="AM13" s="171"/>
      <c r="AN13" s="171"/>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66" hidden="1" x14ac:dyDescent="0.3">
      <c r="A14" s="245"/>
      <c r="B14" s="248"/>
      <c r="C14" s="248"/>
      <c r="D14" s="254"/>
      <c r="E14" s="254"/>
      <c r="F14" s="248"/>
      <c r="G14" s="266"/>
      <c r="H14" s="269"/>
      <c r="I14" s="272"/>
      <c r="J14" s="263"/>
      <c r="K14" s="272">
        <f ca="1">IF(NOT(ISERROR(MATCH(J14,_xlfn.ANCHORARRAY(E25),0))),I27&amp;"Por favor no seleccionar los criterios de impacto",J14)</f>
        <v>0</v>
      </c>
      <c r="L14" s="269"/>
      <c r="M14" s="272"/>
      <c r="N14" s="275"/>
      <c r="O14" s="122">
        <v>5</v>
      </c>
      <c r="P14" s="123"/>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46"/>
      <c r="AF14" s="146"/>
      <c r="AG14" s="161" t="s">
        <v>234</v>
      </c>
      <c r="AH14" s="134"/>
      <c r="AI14" s="134"/>
      <c r="AJ14" s="166"/>
      <c r="AK14" s="133"/>
      <c r="AL14" s="173"/>
      <c r="AM14" s="171"/>
      <c r="AN14" s="171"/>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66" hidden="1" x14ac:dyDescent="0.3">
      <c r="A15" s="246"/>
      <c r="B15" s="249"/>
      <c r="C15" s="249"/>
      <c r="D15" s="255"/>
      <c r="E15" s="255"/>
      <c r="F15" s="249"/>
      <c r="G15" s="267"/>
      <c r="H15" s="270"/>
      <c r="I15" s="273"/>
      <c r="J15" s="264"/>
      <c r="K15" s="273">
        <f ca="1">IF(NOT(ISERROR(MATCH(J15,_xlfn.ANCHORARRAY(E26),0))),I28&amp;"Por favor no seleccionar los criterios de impacto",J15)</f>
        <v>0</v>
      </c>
      <c r="L15" s="270"/>
      <c r="M15" s="273"/>
      <c r="N15" s="276"/>
      <c r="O15" s="122">
        <v>6</v>
      </c>
      <c r="P15" s="123"/>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46"/>
      <c r="AF15" s="146"/>
      <c r="AG15" s="161" t="s">
        <v>234</v>
      </c>
      <c r="AH15" s="134"/>
      <c r="AI15" s="134"/>
      <c r="AJ15" s="166"/>
      <c r="AK15" s="133"/>
      <c r="AL15" s="173"/>
      <c r="AM15" s="171"/>
      <c r="AN15" s="171"/>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262.5" customHeight="1" x14ac:dyDescent="0.3">
      <c r="A16" s="244">
        <v>2</v>
      </c>
      <c r="B16" s="247" t="s">
        <v>133</v>
      </c>
      <c r="C16" s="247" t="s">
        <v>217</v>
      </c>
      <c r="D16" s="253" t="s">
        <v>267</v>
      </c>
      <c r="E16" s="253" t="s">
        <v>230</v>
      </c>
      <c r="F16" s="247" t="s">
        <v>122</v>
      </c>
      <c r="G16" s="265">
        <v>700</v>
      </c>
      <c r="H16" s="268" t="str">
        <f>IF(G16&lt;=0,"",IF(G16&lt;=2,"Muy Baja",IF(G16&lt;=24,"Baja",IF(G16&lt;=500,"Media",IF(G16&lt;=5000,"Alta","Muy Alta")))))</f>
        <v>Alta</v>
      </c>
      <c r="I16" s="271">
        <f>IF(H16="","",IF(H16="Muy Baja",0.2,IF(H16="Baja",0.4,IF(H16="Media",0.6,IF(H16="Alta",0.8,IF(H16="Muy Alta",1,))))))</f>
        <v>0.8</v>
      </c>
      <c r="J16" s="262" t="s">
        <v>153</v>
      </c>
      <c r="K16" s="271"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268" t="str">
        <f ca="1">IF(OR(K16='Tabla Impacto'!$C$11,K16='Tabla Impacto'!$D$11),"Leve",IF(OR(K16='Tabla Impacto'!$C$12,K16='Tabla Impacto'!$D$12),"Menor",IF(OR(K16='Tabla Impacto'!$C$13,K16='Tabla Impacto'!$D$13),"Moderado",IF(OR(K16='Tabla Impacto'!$C$14,K16='Tabla Impacto'!$D$14),"Mayor",IF(OR(K16='Tabla Impacto'!$C$15,K16='Tabla Impacto'!$D$15),"Catastrófico","")))))</f>
        <v>Moderado</v>
      </c>
      <c r="M16" s="271">
        <f ca="1">IF(L16="","",IF(L16="Leve",0.2,IF(L16="Menor",0.4,IF(L16="Moderado",0.6,IF(L16="Mayor",0.8,IF(L16="Catastrófico",1,))))))</f>
        <v>0.6</v>
      </c>
      <c r="N16" s="27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271" t="s">
        <v>240</v>
      </c>
      <c r="Q16" s="138" t="str">
        <f>IF(OR(R16="Preventivo",R16="Detectivo"),"Probabilidad",IF(R16="Correctivo","Impacto",""))</f>
        <v>Probabilidad</v>
      </c>
      <c r="R16" s="139" t="s">
        <v>14</v>
      </c>
      <c r="S16" s="139" t="s">
        <v>10</v>
      </c>
      <c r="T16" s="140" t="str">
        <f>IF(AND(R16="Preventivo",S16="Automático"),"50%",IF(AND(R16="Preventivo",S16="Manual"),"40%",IF(AND(R16="Detectivo",S16="Automático"),"40%",IF(AND(R16="Detectivo",S16="Manual"),"30%",IF(AND(R16="Correctivo",S16="Automático"),"35%",IF(AND(R16="Correctivo",S16="Manual"),"25%",""))))))</f>
        <v>50%</v>
      </c>
      <c r="U16" s="139" t="s">
        <v>19</v>
      </c>
      <c r="V16" s="139" t="s">
        <v>22</v>
      </c>
      <c r="W16" s="139" t="s">
        <v>118</v>
      </c>
      <c r="X16" s="141">
        <f>IFERROR(IF(Q16="Probabilidad",(I16-(+I16*T16)),IF(Q16="Impacto",I16,"")),"")</f>
        <v>0.4</v>
      </c>
      <c r="Y16" s="142" t="str">
        <f>IFERROR(IF(X16="","",IF(X16&lt;=0.2,"Muy Baja",IF(X16&lt;=0.4,"Baja",IF(X16&lt;=0.6,"Media",IF(X16&lt;=0.8,"Alta","Muy Alta"))))),"")</f>
        <v>Baja</v>
      </c>
      <c r="Z16" s="143">
        <f>+X16</f>
        <v>0.4</v>
      </c>
      <c r="AA16" s="142" t="str">
        <f ca="1">IFERROR(IF(AB16="","",IF(AB16&lt;=0.2,"Leve",IF(AB16&lt;=0.4,"Menor",IF(AB16&lt;=0.6,"Moderado",IF(AB16&lt;=0.8,"Mayor","Catastrófico"))))),"")</f>
        <v>Moderado</v>
      </c>
      <c r="AB16" s="143">
        <f ca="1">IFERROR(IF(Q16="Impacto",(M16-(+M16*T16)),IF(Q16="Probabilidad",M16,"")),"")</f>
        <v>0.6</v>
      </c>
      <c r="AC16" s="144"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45" t="s">
        <v>135</v>
      </c>
      <c r="AE16" s="146" t="s">
        <v>236</v>
      </c>
      <c r="AF16" s="146" t="s">
        <v>213</v>
      </c>
      <c r="AG16" s="161" t="s">
        <v>244</v>
      </c>
      <c r="AH16" s="147">
        <v>45292</v>
      </c>
      <c r="AI16" s="147">
        <v>45657</v>
      </c>
      <c r="AJ16" s="169" t="s">
        <v>252</v>
      </c>
      <c r="AK16" s="148" t="s">
        <v>40</v>
      </c>
      <c r="AL16" s="173">
        <v>0</v>
      </c>
      <c r="AM16" s="171" t="s">
        <v>268</v>
      </c>
      <c r="AN16" s="171" t="s">
        <v>271</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15" hidden="1" customHeight="1" x14ac:dyDescent="0.3">
      <c r="A17" s="245"/>
      <c r="B17" s="248"/>
      <c r="C17" s="248"/>
      <c r="D17" s="254"/>
      <c r="E17" s="254"/>
      <c r="F17" s="248"/>
      <c r="G17" s="266"/>
      <c r="H17" s="269"/>
      <c r="I17" s="272"/>
      <c r="J17" s="263"/>
      <c r="K17" s="272">
        <f t="shared" ref="K17:K21" ca="1" si="8">IF(NOT(ISERROR(MATCH(J17,_xlfn.ANCHORARRAY(E28),0))),I30&amp;"Por favor no seleccionar los criterios de impacto",J17)</f>
        <v>0</v>
      </c>
      <c r="L17" s="269"/>
      <c r="M17" s="272"/>
      <c r="N17" s="275"/>
      <c r="O17" s="6">
        <v>2</v>
      </c>
      <c r="P17" s="272"/>
      <c r="Q17" s="138"/>
      <c r="R17" s="139"/>
      <c r="S17" s="139"/>
      <c r="T17" s="140"/>
      <c r="U17" s="139"/>
      <c r="V17" s="139"/>
      <c r="W17" s="139"/>
      <c r="X17" s="141"/>
      <c r="Y17" s="142"/>
      <c r="Z17" s="143"/>
      <c r="AA17" s="142"/>
      <c r="AB17" s="143"/>
      <c r="AC17" s="144"/>
      <c r="AD17" s="145"/>
      <c r="AE17" s="146"/>
      <c r="AF17" s="146"/>
      <c r="AG17" s="146" t="s">
        <v>222</v>
      </c>
      <c r="AH17" s="147"/>
      <c r="AI17" s="147"/>
      <c r="AJ17" s="167"/>
      <c r="AK17" s="133"/>
      <c r="AL17" s="173"/>
      <c r="AM17" s="171"/>
      <c r="AN17" s="171"/>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3">
      <c r="A18" s="245"/>
      <c r="B18" s="248"/>
      <c r="C18" s="248"/>
      <c r="D18" s="254"/>
      <c r="E18" s="254"/>
      <c r="F18" s="248"/>
      <c r="G18" s="266"/>
      <c r="H18" s="269"/>
      <c r="I18" s="272"/>
      <c r="J18" s="263"/>
      <c r="K18" s="272">
        <f t="shared" ca="1" si="8"/>
        <v>0</v>
      </c>
      <c r="L18" s="269"/>
      <c r="M18" s="272"/>
      <c r="N18" s="275"/>
      <c r="O18" s="6">
        <v>3</v>
      </c>
      <c r="P18" s="272"/>
      <c r="Q18" s="138"/>
      <c r="R18" s="139"/>
      <c r="S18" s="139"/>
      <c r="T18" s="140"/>
      <c r="U18" s="139"/>
      <c r="V18" s="139"/>
      <c r="W18" s="139"/>
      <c r="X18" s="141"/>
      <c r="Y18" s="142"/>
      <c r="Z18" s="143"/>
      <c r="AA18" s="142"/>
      <c r="AB18" s="143"/>
      <c r="AC18" s="144"/>
      <c r="AD18" s="145"/>
      <c r="AE18" s="146"/>
      <c r="AF18" s="146"/>
      <c r="AG18" s="146"/>
      <c r="AH18" s="147"/>
      <c r="AI18" s="147"/>
      <c r="AJ18" s="167"/>
      <c r="AK18" s="133"/>
      <c r="AL18" s="173"/>
      <c r="AM18" s="171"/>
      <c r="AN18" s="171"/>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3">
      <c r="A19" s="245"/>
      <c r="B19" s="248"/>
      <c r="C19" s="248"/>
      <c r="D19" s="254"/>
      <c r="E19" s="254"/>
      <c r="F19" s="248"/>
      <c r="G19" s="266"/>
      <c r="H19" s="269"/>
      <c r="I19" s="272"/>
      <c r="J19" s="263"/>
      <c r="K19" s="272">
        <f t="shared" ca="1" si="8"/>
        <v>0</v>
      </c>
      <c r="L19" s="269"/>
      <c r="M19" s="272"/>
      <c r="N19" s="275"/>
      <c r="O19" s="122">
        <v>4</v>
      </c>
      <c r="P19" s="272"/>
      <c r="Q19" s="124" t="str">
        <f t="shared" ref="Q19:Q21" si="9">IF(OR(R19="Preventivo",R19="Detectivo"),"Probabilidad",IF(R19="Correctivo","Impacto",""))</f>
        <v/>
      </c>
      <c r="R19" s="125"/>
      <c r="S19" s="125"/>
      <c r="T19" s="126" t="str">
        <f t="shared" ref="T19:T21" si="10">IF(AND(R19="Preventivo",S19="Automático"),"50%",IF(AND(R19="Preventivo",S19="Manual"),"40%",IF(AND(R19="Detectivo",S19="Automático"),"40%",IF(AND(R19="Detectivo",S19="Manual"),"30%",IF(AND(R19="Correctivo",S19="Automático"),"35%",IF(AND(R19="Correctivo",S19="Manual"),"25%",""))))))</f>
        <v/>
      </c>
      <c r="U19" s="125"/>
      <c r="V19" s="125"/>
      <c r="W19" s="125"/>
      <c r="X19" s="127" t="str">
        <f t="shared" ref="X19:X21" si="11">IFERROR(IF(AND(Q18="Probabilidad",Q19="Probabilidad"),(Z18-(+Z18*T19)),IF(AND(Q18="Impacto",Q19="Probabilidad"),(Z17-(+Z17*T19)),IF(Q19="Impacto",Z18,""))),"")</f>
        <v/>
      </c>
      <c r="Y19" s="128" t="str">
        <f t="shared" ref="Y19:Y21" si="12">IFERROR(IF(X19="","",IF(X19&lt;=0.2,"Muy Baja",IF(X19&lt;=0.4,"Baja",IF(X19&lt;=0.6,"Media",IF(X19&lt;=0.8,"Alta","Muy Alta"))))),"")</f>
        <v/>
      </c>
      <c r="Z19" s="129" t="str">
        <f t="shared" ref="Z19:Z21" si="13">+X19</f>
        <v/>
      </c>
      <c r="AA19" s="128" t="str">
        <f t="shared" ref="AA19:AA20" si="14">IFERROR(IF(AB19="","",IF(AB19&lt;=0.2,"Leve",IF(AB19&lt;=0.4,"Menor",IF(AB19&lt;=0.6,"Moderado",IF(AB19&lt;=0.8,"Mayor","Catastrófico"))))),"")</f>
        <v/>
      </c>
      <c r="AB19" s="129" t="str">
        <f t="shared" ref="AB19:AB21" si="15">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2"/>
      <c r="AF19" s="132"/>
      <c r="AG19" s="133"/>
      <c r="AH19" s="134"/>
      <c r="AI19" s="134"/>
      <c r="AJ19" s="167"/>
      <c r="AK19" s="133"/>
      <c r="AL19" s="173"/>
      <c r="AM19" s="171"/>
      <c r="AN19" s="171"/>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3">
      <c r="A20" s="245"/>
      <c r="B20" s="248"/>
      <c r="C20" s="248"/>
      <c r="D20" s="254"/>
      <c r="E20" s="254"/>
      <c r="F20" s="248"/>
      <c r="G20" s="266"/>
      <c r="H20" s="269"/>
      <c r="I20" s="272"/>
      <c r="J20" s="263"/>
      <c r="K20" s="272">
        <f t="shared" ca="1" si="8"/>
        <v>0</v>
      </c>
      <c r="L20" s="269"/>
      <c r="M20" s="272"/>
      <c r="N20" s="275"/>
      <c r="O20" s="122">
        <v>5</v>
      </c>
      <c r="P20" s="272"/>
      <c r="Q20" s="124" t="str">
        <f t="shared" si="9"/>
        <v/>
      </c>
      <c r="R20" s="125"/>
      <c r="S20" s="125"/>
      <c r="T20" s="126" t="str">
        <f t="shared" si="10"/>
        <v/>
      </c>
      <c r="U20" s="125"/>
      <c r="V20" s="125"/>
      <c r="W20" s="125"/>
      <c r="X20" s="127" t="str">
        <f t="shared" si="11"/>
        <v/>
      </c>
      <c r="Y20" s="128" t="str">
        <f t="shared" si="12"/>
        <v/>
      </c>
      <c r="Z20" s="129" t="str">
        <f t="shared" si="13"/>
        <v/>
      </c>
      <c r="AA20" s="128" t="str">
        <f t="shared" si="14"/>
        <v/>
      </c>
      <c r="AB20" s="129" t="str">
        <f t="shared" si="15"/>
        <v/>
      </c>
      <c r="AC20" s="130" t="str">
        <f t="shared" ref="AC20" si="16">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2"/>
      <c r="AF20" s="132"/>
      <c r="AG20" s="133"/>
      <c r="AH20" s="134"/>
      <c r="AI20" s="134"/>
      <c r="AJ20" s="167"/>
      <c r="AK20" s="133"/>
      <c r="AL20" s="173"/>
      <c r="AM20" s="171"/>
      <c r="AN20" s="171"/>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3.9" hidden="1" customHeight="1" x14ac:dyDescent="0.3">
      <c r="A21" s="246"/>
      <c r="B21" s="249"/>
      <c r="C21" s="249"/>
      <c r="D21" s="255"/>
      <c r="E21" s="255"/>
      <c r="F21" s="249"/>
      <c r="G21" s="267"/>
      <c r="H21" s="270"/>
      <c r="I21" s="273"/>
      <c r="J21" s="264"/>
      <c r="K21" s="273">
        <f t="shared" ca="1" si="8"/>
        <v>0</v>
      </c>
      <c r="L21" s="270"/>
      <c r="M21" s="273"/>
      <c r="N21" s="276"/>
      <c r="O21" s="122">
        <v>6</v>
      </c>
      <c r="P21" s="273"/>
      <c r="Q21" s="124" t="str">
        <f t="shared" si="9"/>
        <v/>
      </c>
      <c r="R21" s="125"/>
      <c r="S21" s="125"/>
      <c r="T21" s="126" t="str">
        <f t="shared" si="10"/>
        <v/>
      </c>
      <c r="U21" s="125"/>
      <c r="V21" s="125"/>
      <c r="W21" s="125"/>
      <c r="X21" s="127" t="str">
        <f t="shared" si="11"/>
        <v/>
      </c>
      <c r="Y21" s="128" t="str">
        <f t="shared" si="12"/>
        <v/>
      </c>
      <c r="Z21" s="129" t="str">
        <f t="shared" si="13"/>
        <v/>
      </c>
      <c r="AA21" s="128" t="str">
        <f>IFERROR(IF(AB21="","",IF(AB21&lt;=0.2,"Leve",IF(AB21&lt;=0.4,"Menor",IF(AB21&lt;=0.6,"Moderado",IF(AB21&lt;=0.8,"Mayor","Catastrófico"))))),"")</f>
        <v/>
      </c>
      <c r="AB21" s="129" t="str">
        <f t="shared" si="15"/>
        <v/>
      </c>
      <c r="AC21" s="130"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1"/>
      <c r="AE21" s="132"/>
      <c r="AF21" s="132"/>
      <c r="AG21" s="133"/>
      <c r="AH21" s="134"/>
      <c r="AI21" s="134"/>
      <c r="AJ21" s="167"/>
      <c r="AK21" s="133"/>
      <c r="AL21" s="173"/>
      <c r="AM21" s="171"/>
      <c r="AN21" s="171"/>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57.5" customHeight="1" x14ac:dyDescent="0.3">
      <c r="A22" s="244">
        <v>3</v>
      </c>
      <c r="B22" s="247" t="s">
        <v>133</v>
      </c>
      <c r="C22" s="247" t="s">
        <v>216</v>
      </c>
      <c r="D22" s="253" t="s">
        <v>223</v>
      </c>
      <c r="E22" s="253" t="s">
        <v>220</v>
      </c>
      <c r="F22" s="247" t="s">
        <v>122</v>
      </c>
      <c r="G22" s="265">
        <v>200</v>
      </c>
      <c r="H22" s="268" t="str">
        <f>IF(G22&lt;=0,"",IF(G22&lt;=2,"Muy Baja",IF(G22&lt;=24,"Baja",IF(G22&lt;=500,"Media",IF(G22&lt;=5000,"Alta","Muy Alta")))))</f>
        <v>Media</v>
      </c>
      <c r="I22" s="271">
        <f>IF(H22="","",IF(H22="Muy Baja",0.2,IF(H22="Baja",0.4,IF(H22="Media",0.6,IF(H22="Alta",0.8,IF(H22="Muy Alta",1,))))))</f>
        <v>0.6</v>
      </c>
      <c r="J22" s="262" t="s">
        <v>153</v>
      </c>
      <c r="K22" s="271"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68" t="str">
        <f ca="1">IF(OR(K22='Tabla Impacto'!$C$11,K22='Tabla Impacto'!$D$11),"Leve",IF(OR(K22='Tabla Impacto'!$C$12,K22='Tabla Impacto'!$D$12),"Menor",IF(OR(K22='Tabla Impacto'!$C$13,K22='Tabla Impacto'!$D$13),"Moderado",IF(OR(K22='Tabla Impacto'!$C$14,K22='Tabla Impacto'!$D$14),"Mayor",IF(OR(K22='Tabla Impacto'!$C$15,K22='Tabla Impacto'!$D$15),"Catastrófico","")))))</f>
        <v>Moderado</v>
      </c>
      <c r="M22" s="271">
        <f ca="1">IF(L22="","",IF(L22="Leve",0.2,IF(L22="Menor",0.4,IF(L22="Moderado",0.6,IF(L22="Mayor",0.8,IF(L22="Catastrófico",1,))))))</f>
        <v>0.6</v>
      </c>
      <c r="N22" s="27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271" t="s">
        <v>245</v>
      </c>
      <c r="Q22" s="138" t="str">
        <f>IF(OR(R22="Preventivo",R22="Detectivo"),"Probabilidad",IF(R22="Correctivo","Impacto",""))</f>
        <v>Probabilidad</v>
      </c>
      <c r="R22" s="139" t="s">
        <v>15</v>
      </c>
      <c r="S22" s="139" t="s">
        <v>9</v>
      </c>
      <c r="T22" s="140" t="str">
        <f>IF(AND(R22="Preventivo",S22="Automático"),"50%",IF(AND(R22="Preventivo",S22="Manual"),"40%",IF(AND(R22="Detectivo",S22="Automático"),"40%",IF(AND(R22="Detectivo",S22="Manual"),"30%",IF(AND(R22="Correctivo",S22="Automático"),"35%",IF(AND(R22="Correctivo",S22="Manual"),"25%",""))))))</f>
        <v>30%</v>
      </c>
      <c r="U22" s="139" t="s">
        <v>20</v>
      </c>
      <c r="V22" s="139" t="s">
        <v>22</v>
      </c>
      <c r="W22" s="139" t="s">
        <v>118</v>
      </c>
      <c r="X22" s="141">
        <f>IFERROR(IF(Q22="Probabilidad",(I22-(+I22*T22)),IF(Q22="Impacto",I22,"")),"")</f>
        <v>0.42</v>
      </c>
      <c r="Y22" s="142" t="str">
        <f>IFERROR(IF(X22="","",IF(X22&lt;=0.2,"Muy Baja",IF(X22&lt;=0.4,"Baja",IF(X22&lt;=0.6,"Media",IF(X22&lt;=0.8,"Alta","Muy Alta"))))),"")</f>
        <v>Media</v>
      </c>
      <c r="Z22" s="143">
        <f>+X22</f>
        <v>0.42</v>
      </c>
      <c r="AA22" s="142" t="str">
        <f ca="1">IFERROR(IF(AB22="","",IF(AB22&lt;=0.2,"Leve",IF(AB22&lt;=0.4,"Menor",IF(AB22&lt;=0.6,"Moderado",IF(AB22&lt;=0.8,"Mayor","Catastrófico"))))),"")</f>
        <v>Moderado</v>
      </c>
      <c r="AB22" s="143">
        <f ca="1">IFERROR(IF(Q22="Impacto",(M22-(+M22*T22)),IF(Q22="Probabilidad",M22,"")),"")</f>
        <v>0.6</v>
      </c>
      <c r="AC22" s="144"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45" t="s">
        <v>135</v>
      </c>
      <c r="AE22" s="146" t="s">
        <v>241</v>
      </c>
      <c r="AF22" s="146" t="s">
        <v>213</v>
      </c>
      <c r="AG22" s="161" t="s">
        <v>234</v>
      </c>
      <c r="AH22" s="147">
        <v>45292</v>
      </c>
      <c r="AI22" s="147">
        <v>45657</v>
      </c>
      <c r="AJ22" s="170" t="s">
        <v>253</v>
      </c>
      <c r="AK22" s="148" t="s">
        <v>40</v>
      </c>
      <c r="AL22" s="173" t="s">
        <v>266</v>
      </c>
      <c r="AM22" s="172" t="s">
        <v>266</v>
      </c>
      <c r="AN22" s="171" t="s">
        <v>270</v>
      </c>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3">
      <c r="A23" s="245"/>
      <c r="B23" s="248"/>
      <c r="C23" s="248"/>
      <c r="D23" s="254"/>
      <c r="E23" s="254"/>
      <c r="F23" s="248"/>
      <c r="G23" s="266"/>
      <c r="H23" s="269"/>
      <c r="I23" s="272"/>
      <c r="J23" s="263"/>
      <c r="K23" s="272">
        <f ca="1">IF(NOT(ISERROR(MATCH(J23,_xlfn.ANCHORARRAY(E34),0))),#REF!&amp;"Por favor no seleccionar los criterios de impacto",J23)</f>
        <v>0</v>
      </c>
      <c r="L23" s="269"/>
      <c r="M23" s="272"/>
      <c r="N23" s="275"/>
      <c r="O23" s="6">
        <v>2</v>
      </c>
      <c r="P23" s="272"/>
      <c r="Q23" s="138"/>
      <c r="R23" s="139"/>
      <c r="S23" s="139"/>
      <c r="T23" s="140"/>
      <c r="U23" s="139"/>
      <c r="V23" s="139"/>
      <c r="W23" s="139"/>
      <c r="X23" s="150"/>
      <c r="Y23" s="142"/>
      <c r="Z23" s="143"/>
      <c r="AA23" s="142"/>
      <c r="AB23" s="143"/>
      <c r="AC23" s="144"/>
      <c r="AD23" s="145"/>
      <c r="AE23" s="146"/>
      <c r="AF23" s="146"/>
      <c r="AG23" s="161"/>
      <c r="AH23" s="147"/>
      <c r="AI23" s="147"/>
      <c r="AJ23" s="167"/>
      <c r="AK23" s="148"/>
      <c r="AL23" s="173"/>
      <c r="AM23" s="171"/>
      <c r="AN23" s="171"/>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3">
      <c r="A24" s="245"/>
      <c r="B24" s="248"/>
      <c r="C24" s="248"/>
      <c r="D24" s="254"/>
      <c r="E24" s="254"/>
      <c r="F24" s="248"/>
      <c r="G24" s="266"/>
      <c r="H24" s="269"/>
      <c r="I24" s="272"/>
      <c r="J24" s="263"/>
      <c r="K24" s="272">
        <f ca="1">IF(NOT(ISERROR(MATCH(J24,_xlfn.ANCHORARRAY(#REF!),0))),#REF!&amp;"Por favor no seleccionar los criterios de impacto",J24)</f>
        <v>0</v>
      </c>
      <c r="L24" s="269"/>
      <c r="M24" s="272"/>
      <c r="N24" s="275"/>
      <c r="O24" s="6">
        <v>3</v>
      </c>
      <c r="P24" s="272"/>
      <c r="Q24" s="124" t="str">
        <f>IF(OR(R24="Preventivo",R24="Detectivo"),"Probabilidad",IF(R24="Correctivo","Impacto",""))</f>
        <v/>
      </c>
      <c r="R24" s="125"/>
      <c r="S24" s="125"/>
      <c r="T24" s="126" t="str">
        <f t="shared" ref="T24:T27" si="17">IF(AND(R24="Preventivo",S24="Automático"),"50%",IF(AND(R24="Preventivo",S24="Manual"),"40%",IF(AND(R24="Detectivo",S24="Automático"),"40%",IF(AND(R24="Detectivo",S24="Manual"),"30%",IF(AND(R24="Correctivo",S24="Automático"),"35%",IF(AND(R24="Correctivo",S24="Manual"),"25%",""))))))</f>
        <v/>
      </c>
      <c r="U24" s="125"/>
      <c r="V24" s="125"/>
      <c r="W24" s="125"/>
      <c r="X24" s="127" t="str">
        <f>IFERROR(IF(AND(Q23="Probabilidad",Q24="Probabilidad"),(Z23-(+Z23*T24)),IF(AND(Q23="Impacto",Q24="Probabilidad"),(Z22-(+Z22*T24)),IF(Q24="Impacto",Z23,""))),"")</f>
        <v/>
      </c>
      <c r="Y24" s="128" t="str">
        <f t="shared" si="1"/>
        <v/>
      </c>
      <c r="Z24" s="129" t="str">
        <f t="shared" ref="Z24:Z27" si="18">+X24</f>
        <v/>
      </c>
      <c r="AA24" s="128" t="str">
        <f t="shared" si="3"/>
        <v/>
      </c>
      <c r="AB24" s="129" t="str">
        <f>IFERROR(IF(AND(Q23="Impacto",Q24="Impacto"),(AB23-(+AB23*T24)),IF(AND(Q23="Probabilidad",Q24="Impacto"),(AB22-(+AB22*T24)),IF(Q24="Probabilidad",AB23,""))),"")</f>
        <v/>
      </c>
      <c r="AC24" s="130" t="str">
        <f t="shared" ref="AC24" si="19">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1"/>
      <c r="AE24" s="146"/>
      <c r="AF24" s="146"/>
      <c r="AG24" s="161"/>
      <c r="AH24" s="134"/>
      <c r="AI24" s="134"/>
      <c r="AJ24" s="167"/>
      <c r="AK24" s="148"/>
      <c r="AL24" s="173"/>
      <c r="AM24" s="171"/>
      <c r="AN24" s="171"/>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245"/>
      <c r="B25" s="248"/>
      <c r="C25" s="248"/>
      <c r="D25" s="254"/>
      <c r="E25" s="254"/>
      <c r="F25" s="248"/>
      <c r="G25" s="266"/>
      <c r="H25" s="269"/>
      <c r="I25" s="272"/>
      <c r="J25" s="263"/>
      <c r="K25" s="272">
        <f ca="1">IF(NOT(ISERROR(MATCH(J25,_xlfn.ANCHORARRAY(#REF!),0))),I35&amp;"Por favor no seleccionar los criterios de impacto",J25)</f>
        <v>0</v>
      </c>
      <c r="L25" s="269"/>
      <c r="M25" s="272"/>
      <c r="N25" s="275"/>
      <c r="O25" s="6">
        <v>4</v>
      </c>
      <c r="P25" s="272"/>
      <c r="Q25" s="124" t="str">
        <f t="shared" ref="Q25:Q27" si="20">IF(OR(R25="Preventivo",R25="Detectivo"),"Probabilidad",IF(R25="Correctivo","Impacto",""))</f>
        <v/>
      </c>
      <c r="R25" s="125"/>
      <c r="S25" s="125"/>
      <c r="T25" s="126" t="str">
        <f t="shared" si="17"/>
        <v/>
      </c>
      <c r="U25" s="125"/>
      <c r="V25" s="125"/>
      <c r="W25" s="125"/>
      <c r="X25" s="127" t="str">
        <f t="shared" ref="X25:X27" si="21">IFERROR(IF(AND(Q24="Probabilidad",Q25="Probabilidad"),(Z24-(+Z24*T25)),IF(AND(Q24="Impacto",Q25="Probabilidad"),(Z23-(+Z23*T25)),IF(Q25="Impacto",Z24,""))),"")</f>
        <v/>
      </c>
      <c r="Y25" s="128" t="str">
        <f t="shared" si="1"/>
        <v/>
      </c>
      <c r="Z25" s="129" t="str">
        <f t="shared" si="18"/>
        <v/>
      </c>
      <c r="AA25" s="128" t="str">
        <f t="shared" si="3"/>
        <v/>
      </c>
      <c r="AB25" s="129" t="str">
        <f t="shared" ref="AB25:AB27" si="22">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46"/>
      <c r="AF25" s="146"/>
      <c r="AG25" s="161"/>
      <c r="AH25" s="134"/>
      <c r="AI25" s="134"/>
      <c r="AJ25" s="167"/>
      <c r="AK25" s="148"/>
      <c r="AL25" s="173"/>
      <c r="AM25" s="171"/>
      <c r="AN25" s="171"/>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245"/>
      <c r="B26" s="248"/>
      <c r="C26" s="248"/>
      <c r="D26" s="254"/>
      <c r="E26" s="254"/>
      <c r="F26" s="248"/>
      <c r="G26" s="266"/>
      <c r="H26" s="269"/>
      <c r="I26" s="272"/>
      <c r="J26" s="263"/>
      <c r="K26" s="272">
        <f ca="1">IF(NOT(ISERROR(MATCH(J26,_xlfn.ANCHORARRAY(#REF!),0))),I36&amp;"Por favor no seleccionar los criterios de impacto",J26)</f>
        <v>0</v>
      </c>
      <c r="L26" s="269"/>
      <c r="M26" s="272"/>
      <c r="N26" s="275"/>
      <c r="O26" s="6">
        <v>5</v>
      </c>
      <c r="P26" s="272"/>
      <c r="Q26" s="124" t="str">
        <f t="shared" si="20"/>
        <v/>
      </c>
      <c r="R26" s="125"/>
      <c r="S26" s="125"/>
      <c r="T26" s="126" t="str">
        <f t="shared" si="17"/>
        <v/>
      </c>
      <c r="U26" s="125"/>
      <c r="V26" s="125"/>
      <c r="W26" s="125"/>
      <c r="X26" s="127" t="str">
        <f t="shared" si="21"/>
        <v/>
      </c>
      <c r="Y26" s="128" t="str">
        <f t="shared" si="1"/>
        <v/>
      </c>
      <c r="Z26" s="129" t="str">
        <f t="shared" si="18"/>
        <v/>
      </c>
      <c r="AA26" s="128" t="str">
        <f t="shared" si="3"/>
        <v/>
      </c>
      <c r="AB26" s="129" t="str">
        <f t="shared" si="22"/>
        <v/>
      </c>
      <c r="AC26" s="130" t="str">
        <f t="shared" ref="AC26:AC27" si="23">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46"/>
      <c r="AF26" s="146"/>
      <c r="AG26" s="161"/>
      <c r="AH26" s="134"/>
      <c r="AI26" s="134"/>
      <c r="AJ26" s="167"/>
      <c r="AK26" s="148"/>
      <c r="AL26" s="173"/>
      <c r="AM26" s="171"/>
      <c r="AN26" s="171"/>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246"/>
      <c r="B27" s="249"/>
      <c r="C27" s="249"/>
      <c r="D27" s="255"/>
      <c r="E27" s="255"/>
      <c r="F27" s="249"/>
      <c r="G27" s="267"/>
      <c r="H27" s="270"/>
      <c r="I27" s="273"/>
      <c r="J27" s="264"/>
      <c r="K27" s="273">
        <f ca="1">IF(NOT(ISERROR(MATCH(J27,_xlfn.ANCHORARRAY(E35),0))),I37&amp;"Por favor no seleccionar los criterios de impacto",J27)</f>
        <v>0</v>
      </c>
      <c r="L27" s="270"/>
      <c r="M27" s="273"/>
      <c r="N27" s="276"/>
      <c r="O27" s="6">
        <v>6</v>
      </c>
      <c r="P27" s="273"/>
      <c r="Q27" s="124" t="str">
        <f t="shared" si="20"/>
        <v/>
      </c>
      <c r="R27" s="125"/>
      <c r="S27" s="125"/>
      <c r="T27" s="126" t="str">
        <f t="shared" si="17"/>
        <v/>
      </c>
      <c r="U27" s="125"/>
      <c r="V27" s="125"/>
      <c r="W27" s="125"/>
      <c r="X27" s="127" t="str">
        <f t="shared" si="21"/>
        <v/>
      </c>
      <c r="Y27" s="128" t="str">
        <f t="shared" si="1"/>
        <v/>
      </c>
      <c r="Z27" s="129" t="str">
        <f t="shared" si="18"/>
        <v/>
      </c>
      <c r="AA27" s="128" t="str">
        <f t="shared" si="3"/>
        <v/>
      </c>
      <c r="AB27" s="129" t="str">
        <f t="shared" si="22"/>
        <v/>
      </c>
      <c r="AC27" s="130" t="str">
        <f t="shared" si="23"/>
        <v/>
      </c>
      <c r="AD27" s="131"/>
      <c r="AE27" s="146"/>
      <c r="AF27" s="146"/>
      <c r="AG27" s="161"/>
      <c r="AH27" s="134"/>
      <c r="AI27" s="134"/>
      <c r="AJ27" s="167"/>
      <c r="AK27" s="148"/>
      <c r="AL27" s="173"/>
      <c r="AM27" s="171"/>
      <c r="AN27" s="171"/>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288.75" customHeight="1" x14ac:dyDescent="0.3">
      <c r="A28" s="244">
        <v>4</v>
      </c>
      <c r="B28" s="247" t="s">
        <v>133</v>
      </c>
      <c r="C28" s="253" t="s">
        <v>224</v>
      </c>
      <c r="D28" s="253" t="s">
        <v>225</v>
      </c>
      <c r="E28" s="253" t="s">
        <v>228</v>
      </c>
      <c r="F28" s="247" t="s">
        <v>122</v>
      </c>
      <c r="G28" s="265">
        <v>1700</v>
      </c>
      <c r="H28" s="268" t="str">
        <f>IF(G28&lt;=0,"",IF(G28&lt;=2,"Muy Baja",IF(G28&lt;=24,"Baja",IF(G28&lt;=500,"Media",IF(G28&lt;=5000,"Alta","Muy Alta")))))</f>
        <v>Alta</v>
      </c>
      <c r="I28" s="271">
        <f>IF(H28="","",IF(H28="Muy Baja",0.2,IF(H28="Baja",0.4,IF(H28="Media",0.6,IF(H28="Alta",0.8,IF(H28="Muy Alta",1,))))))</f>
        <v>0.8</v>
      </c>
      <c r="J28" s="262" t="s">
        <v>152</v>
      </c>
      <c r="K28" s="271" t="str">
        <f ca="1">IF(NOT(ISERROR(MATCH(J28,'Tabla Impacto'!$B$221:$B$223,0))),'Tabla Impacto'!$F$223&amp;"Por favor no seleccionar los criterios de impacto(Afectación Económica o presupuestal y Pérdida Reputacional)",J28)</f>
        <v xml:space="preserve">     El riesgo afecta la imagen de la entidad internamente, de conocimiento general, nivel interno, de junta dircetiva y accionistas y/o de provedores</v>
      </c>
      <c r="L28" s="268" t="str">
        <f ca="1">IF(OR(K28='Tabla Impacto'!$C$11,K28='Tabla Impacto'!$D$11),"Leve",IF(OR(K28='Tabla Impacto'!$C$12,K28='Tabla Impacto'!$D$12),"Menor",IF(OR(K28='Tabla Impacto'!$C$13,K28='Tabla Impacto'!$D$13),"Moderado",IF(OR(K28='Tabla Impacto'!$C$14,K28='Tabla Impacto'!$D$14),"Mayor",IF(OR(K28='Tabla Impacto'!$C$15,K28='Tabla Impacto'!$D$15),"Catastrófico","")))))</f>
        <v>Menor</v>
      </c>
      <c r="M28" s="271">
        <f ca="1">IF(L28="","",IF(L28="Leve",0.2,IF(L28="Menor",0.4,IF(L28="Moderado",0.6,IF(L28="Mayor",0.8,IF(L28="Catastrófico",1,))))))</f>
        <v>0.4</v>
      </c>
      <c r="N28" s="27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Moderado</v>
      </c>
      <c r="O28" s="6">
        <v>1</v>
      </c>
      <c r="P28" s="271" t="s">
        <v>242</v>
      </c>
      <c r="Q28" s="138" t="str">
        <f>IF(OR(R28="Preventivo",R28="Detectivo"),"Probabilidad",IF(R28="Correctivo","Impacto",""))</f>
        <v>Probabilidad</v>
      </c>
      <c r="R28" s="139" t="s">
        <v>14</v>
      </c>
      <c r="S28" s="139" t="s">
        <v>10</v>
      </c>
      <c r="T28" s="140" t="str">
        <f>IF(AND(R28="Preventivo",S28="Automático"),"50%",IF(AND(R28="Preventivo",S28="Manual"),"40%",IF(AND(R28="Detectivo",S28="Automático"),"40%",IF(AND(R28="Detectivo",S28="Manual"),"30%",IF(AND(R28="Correctivo",S28="Automático"),"35%",IF(AND(R28="Correctivo",S28="Manual"),"25%",""))))))</f>
        <v>50%</v>
      </c>
      <c r="U28" s="139" t="s">
        <v>19</v>
      </c>
      <c r="V28" s="139" t="s">
        <v>22</v>
      </c>
      <c r="W28" s="139" t="s">
        <v>118</v>
      </c>
      <c r="X28" s="141">
        <f>IFERROR(IF(Q28="Probabilidad",(I28-(+I28*T28)),IF(Q28="Impacto",I28,"")),"")</f>
        <v>0.4</v>
      </c>
      <c r="Y28" s="142" t="str">
        <f>IFERROR(IF(X28="","",IF(X28&lt;=0.2,"Muy Baja",IF(X28&lt;=0.4,"Baja",IF(X28&lt;=0.6,"Media",IF(X28&lt;=0.8,"Alta","Muy Alta"))))),"")</f>
        <v>Baja</v>
      </c>
      <c r="Z28" s="143">
        <f>+X28</f>
        <v>0.4</v>
      </c>
      <c r="AA28" s="142" t="str">
        <f ca="1">IFERROR(IF(AB28="","",IF(AB28&lt;=0.2,"Leve",IF(AB28&lt;=0.4,"Menor",IF(AB28&lt;=0.6,"Moderado",IF(AB28&lt;=0.8,"Mayor","Catastrófico"))))),"")</f>
        <v>Menor</v>
      </c>
      <c r="AB28" s="143">
        <f ca="1">IFERROR(IF(Q28="Impacto",(M28-(+M28*T28)),IF(Q28="Probabilidad",M28,"")),"")</f>
        <v>0.4</v>
      </c>
      <c r="AC28" s="144" t="str">
        <f ca="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45" t="s">
        <v>135</v>
      </c>
      <c r="AE28" s="161" t="s">
        <v>238</v>
      </c>
      <c r="AF28" s="161" t="s">
        <v>213</v>
      </c>
      <c r="AG28" s="161" t="s">
        <v>243</v>
      </c>
      <c r="AH28" s="147">
        <v>45292</v>
      </c>
      <c r="AI28" s="147">
        <v>45657</v>
      </c>
      <c r="AJ28" s="168" t="s">
        <v>254</v>
      </c>
      <c r="AK28" s="148" t="s">
        <v>40</v>
      </c>
      <c r="AL28" s="173">
        <v>1</v>
      </c>
      <c r="AM28" s="171" t="s">
        <v>269</v>
      </c>
      <c r="AN28" s="171" t="s">
        <v>272</v>
      </c>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hidden="1" customHeight="1" x14ac:dyDescent="0.3">
      <c r="A29" s="245"/>
      <c r="B29" s="248"/>
      <c r="C29" s="254"/>
      <c r="D29" s="254"/>
      <c r="E29" s="254"/>
      <c r="F29" s="248"/>
      <c r="G29" s="266"/>
      <c r="H29" s="269"/>
      <c r="I29" s="272"/>
      <c r="J29" s="263"/>
      <c r="K29" s="272">
        <f ca="1">IF(NOT(ISERROR(MATCH(J29,_xlfn.ANCHORARRAY(E37),0))),I39&amp;"Por favor no seleccionar los criterios de impacto",J29)</f>
        <v>0</v>
      </c>
      <c r="L29" s="269"/>
      <c r="M29" s="272"/>
      <c r="N29" s="275"/>
      <c r="O29" s="6">
        <v>2</v>
      </c>
      <c r="P29" s="272"/>
      <c r="Q29" s="138"/>
      <c r="R29" s="139"/>
      <c r="S29" s="139"/>
      <c r="T29" s="140"/>
      <c r="U29" s="139"/>
      <c r="V29" s="139"/>
      <c r="W29" s="139"/>
      <c r="X29" s="141"/>
      <c r="Y29" s="142"/>
      <c r="Z29" s="143"/>
      <c r="AA29" s="142"/>
      <c r="AB29" s="143"/>
      <c r="AC29" s="144"/>
      <c r="AD29" s="145"/>
      <c r="AE29" s="146"/>
      <c r="AF29" s="146"/>
      <c r="AG29" s="161"/>
      <c r="AH29" s="147"/>
      <c r="AI29" s="151"/>
      <c r="AJ29" s="167"/>
      <c r="AK29" s="133"/>
      <c r="AL29" s="173"/>
      <c r="AM29" s="171"/>
      <c r="AN29" s="171"/>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3">
      <c r="A30" s="245"/>
      <c r="B30" s="248"/>
      <c r="C30" s="254"/>
      <c r="D30" s="254"/>
      <c r="E30" s="254"/>
      <c r="F30" s="248"/>
      <c r="G30" s="266"/>
      <c r="H30" s="269"/>
      <c r="I30" s="272"/>
      <c r="J30" s="263"/>
      <c r="K30" s="272">
        <f ca="1">IF(NOT(ISERROR(MATCH(J30,_xlfn.ANCHORARRAY(E38),0))),I40&amp;"Por favor no seleccionar los criterios de impacto",J30)</f>
        <v>0</v>
      </c>
      <c r="L30" s="269"/>
      <c r="M30" s="272"/>
      <c r="N30" s="275"/>
      <c r="O30" s="6">
        <v>3</v>
      </c>
      <c r="P30" s="272"/>
      <c r="Q30" s="138"/>
      <c r="R30" s="139"/>
      <c r="S30" s="139"/>
      <c r="T30" s="140"/>
      <c r="U30" s="139"/>
      <c r="V30" s="139"/>
      <c r="W30" s="139"/>
      <c r="X30" s="141"/>
      <c r="Y30" s="142"/>
      <c r="Z30" s="143"/>
      <c r="AA30" s="142"/>
      <c r="AB30" s="143"/>
      <c r="AC30" s="144"/>
      <c r="AD30" s="145"/>
      <c r="AE30" s="146"/>
      <c r="AF30" s="146"/>
      <c r="AG30" s="161"/>
      <c r="AH30" s="147"/>
      <c r="AI30" s="151"/>
      <c r="AJ30" s="167"/>
      <c r="AK30" s="133"/>
      <c r="AL30" s="173"/>
      <c r="AM30" s="171"/>
      <c r="AN30" s="171"/>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245"/>
      <c r="B31" s="248"/>
      <c r="C31" s="254"/>
      <c r="D31" s="254"/>
      <c r="E31" s="254"/>
      <c r="F31" s="248"/>
      <c r="G31" s="266"/>
      <c r="H31" s="269"/>
      <c r="I31" s="272"/>
      <c r="J31" s="263"/>
      <c r="K31" s="272">
        <f ca="1">IF(NOT(ISERROR(MATCH(J31,_xlfn.ANCHORARRAY(E39),0))),I41&amp;"Por favor no seleccionar los criterios de impacto",J31)</f>
        <v>0</v>
      </c>
      <c r="L31" s="269"/>
      <c r="M31" s="272"/>
      <c r="N31" s="275"/>
      <c r="O31" s="6">
        <v>4</v>
      </c>
      <c r="P31" s="272"/>
      <c r="Q31" s="124" t="str">
        <f t="shared" ref="Q31:Q33" si="24">IF(OR(R31="Preventivo",R31="Detectivo"),"Probabilidad",IF(R31="Correctivo","Impacto",""))</f>
        <v/>
      </c>
      <c r="R31" s="125"/>
      <c r="S31" s="125"/>
      <c r="T31" s="126" t="str">
        <f t="shared" ref="T31:T33" si="25">IF(AND(R31="Preventivo",S31="Automático"),"50%",IF(AND(R31="Preventivo",S31="Manual"),"40%",IF(AND(R31="Detectivo",S31="Automático"),"40%",IF(AND(R31="Detectivo",S31="Manual"),"30%",IF(AND(R31="Correctivo",S31="Automático"),"35%",IF(AND(R31="Correctivo",S31="Manual"),"25%",""))))))</f>
        <v/>
      </c>
      <c r="U31" s="125"/>
      <c r="V31" s="125"/>
      <c r="W31" s="125"/>
      <c r="X31" s="127" t="str">
        <f t="shared" ref="X31:X33" si="26">IFERROR(IF(AND(Q30="Probabilidad",Q31="Probabilidad"),(Z30-(+Z30*T31)),IF(AND(Q30="Impacto",Q31="Probabilidad"),(Z29-(+Z29*T31)),IF(Q31="Impacto",Z30,""))),"")</f>
        <v/>
      </c>
      <c r="Y31" s="128" t="str">
        <f t="shared" si="1"/>
        <v/>
      </c>
      <c r="Z31" s="129" t="str">
        <f t="shared" ref="Z31:Z33" si="27">+X31</f>
        <v/>
      </c>
      <c r="AA31" s="128" t="str">
        <f t="shared" si="3"/>
        <v/>
      </c>
      <c r="AB31" s="129" t="str">
        <f t="shared" ref="AB31:AB33" si="28">IFERROR(IF(AND(Q30="Impacto",Q31="Impacto"),(AB30-(+AB30*T31)),IF(AND(Q30="Probabilidad",Q31="Impacto"),(AB29-(+AB29*T31)),IF(Q31="Probabilidad",AB30,""))),"")</f>
        <v/>
      </c>
      <c r="AC31" s="13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1"/>
      <c r="AE31" s="146"/>
      <c r="AF31" s="146"/>
      <c r="AG31" s="161"/>
      <c r="AH31" s="134"/>
      <c r="AI31" s="134"/>
      <c r="AJ31" s="167"/>
      <c r="AK31" s="133"/>
      <c r="AL31" s="173"/>
      <c r="AM31" s="171"/>
      <c r="AN31" s="171"/>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245"/>
      <c r="B32" s="248"/>
      <c r="C32" s="254"/>
      <c r="D32" s="254"/>
      <c r="E32" s="254"/>
      <c r="F32" s="248"/>
      <c r="G32" s="266"/>
      <c r="H32" s="269"/>
      <c r="I32" s="272"/>
      <c r="J32" s="263"/>
      <c r="K32" s="272">
        <f ca="1">IF(NOT(ISERROR(MATCH(J32,_xlfn.ANCHORARRAY(E40),0))),I42&amp;"Por favor no seleccionar los criterios de impacto",J32)</f>
        <v>0</v>
      </c>
      <c r="L32" s="269"/>
      <c r="M32" s="272"/>
      <c r="N32" s="275"/>
      <c r="O32" s="6">
        <v>5</v>
      </c>
      <c r="P32" s="272"/>
      <c r="Q32" s="124" t="str">
        <f t="shared" si="24"/>
        <v/>
      </c>
      <c r="R32" s="125"/>
      <c r="S32" s="125"/>
      <c r="T32" s="126" t="str">
        <f t="shared" si="25"/>
        <v/>
      </c>
      <c r="U32" s="125"/>
      <c r="V32" s="125"/>
      <c r="W32" s="125"/>
      <c r="X32" s="136"/>
      <c r="Y32" s="128"/>
      <c r="Z32" s="129"/>
      <c r="AA32" s="128"/>
      <c r="AB32" s="129"/>
      <c r="AC32" s="130"/>
      <c r="AD32" s="131"/>
      <c r="AE32" s="146"/>
      <c r="AF32" s="146"/>
      <c r="AG32" s="161"/>
      <c r="AH32" s="134"/>
      <c r="AI32" s="134"/>
      <c r="AJ32" s="167"/>
      <c r="AK32" s="133"/>
      <c r="AL32" s="173"/>
      <c r="AM32" s="171"/>
      <c r="AN32" s="171"/>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 hidden="1" customHeight="1" x14ac:dyDescent="0.3">
      <c r="A33" s="246"/>
      <c r="B33" s="249"/>
      <c r="C33" s="255"/>
      <c r="D33" s="255"/>
      <c r="E33" s="255"/>
      <c r="F33" s="249"/>
      <c r="G33" s="267"/>
      <c r="H33" s="270"/>
      <c r="I33" s="273"/>
      <c r="J33" s="264"/>
      <c r="K33" s="273">
        <f ca="1">IF(NOT(ISERROR(MATCH(J33,_xlfn.ANCHORARRAY(E41),0))),I43&amp;"Por favor no seleccionar los criterios de impacto",J33)</f>
        <v>0</v>
      </c>
      <c r="L33" s="270"/>
      <c r="M33" s="273"/>
      <c r="N33" s="276"/>
      <c r="O33" s="6">
        <v>6</v>
      </c>
      <c r="P33" s="273"/>
      <c r="Q33" s="124" t="str">
        <f t="shared" si="24"/>
        <v/>
      </c>
      <c r="R33" s="125"/>
      <c r="S33" s="125"/>
      <c r="T33" s="126" t="str">
        <f t="shared" si="25"/>
        <v/>
      </c>
      <c r="U33" s="125"/>
      <c r="V33" s="125"/>
      <c r="W33" s="125"/>
      <c r="X33" s="127" t="str">
        <f t="shared" si="26"/>
        <v/>
      </c>
      <c r="Y33" s="128" t="str">
        <f t="shared" si="1"/>
        <v/>
      </c>
      <c r="Z33" s="129" t="str">
        <f t="shared" si="27"/>
        <v/>
      </c>
      <c r="AA33" s="128" t="str">
        <f t="shared" si="3"/>
        <v/>
      </c>
      <c r="AB33" s="129" t="str">
        <f t="shared" si="28"/>
        <v/>
      </c>
      <c r="AC33" s="130" t="str">
        <f t="shared" ref="AC33" si="29">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1"/>
      <c r="AE33" s="146"/>
      <c r="AF33" s="146"/>
      <c r="AG33" s="161"/>
      <c r="AH33" s="134"/>
      <c r="AI33" s="134"/>
      <c r="AJ33" s="167"/>
      <c r="AK33" s="133"/>
      <c r="AL33" s="173"/>
      <c r="AM33" s="171"/>
      <c r="AN33" s="171"/>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242.25" customHeight="1" x14ac:dyDescent="0.3">
      <c r="A34" s="244">
        <v>5</v>
      </c>
      <c r="B34" s="247" t="s">
        <v>133</v>
      </c>
      <c r="C34" s="253" t="s">
        <v>246</v>
      </c>
      <c r="D34" s="253" t="s">
        <v>247</v>
      </c>
      <c r="E34" s="253" t="s">
        <v>229</v>
      </c>
      <c r="F34" s="247" t="s">
        <v>122</v>
      </c>
      <c r="G34" s="265">
        <v>501</v>
      </c>
      <c r="H34" s="268" t="str">
        <f>IF(G34&lt;=0,"",IF(G34&lt;=2,"Muy Baja",IF(G34&lt;=24,"Baja",IF(G34&lt;=500,"Media",IF(G34&lt;=5000,"Alta","Muy Alta")))))</f>
        <v>Alta</v>
      </c>
      <c r="I34" s="271">
        <f>IF(H34="","",IF(H34="Muy Baja",0.2,IF(H34="Baja",0.4,IF(H34="Media",0.6,IF(H34="Alta",0.8,IF(H34="Muy Alta",1,))))))</f>
        <v>0.8</v>
      </c>
      <c r="J34" s="262" t="s">
        <v>152</v>
      </c>
      <c r="K34" s="271" t="str">
        <f ca="1">IF(NOT(ISERROR(MATCH(J34,'Tabla Impacto'!$B$221:$B$223,0))),'Tabla Impacto'!$F$223&amp;"Por favor no seleccionar los criterios de impacto(Afectación Económica o presupuestal y Pérdida Reputacional)",J34)</f>
        <v xml:space="preserve">     El riesgo afecta la imagen de la entidad internamente, de conocimiento general, nivel interno, de junta dircetiva y accionistas y/o de provedores</v>
      </c>
      <c r="L34" s="268" t="str">
        <f ca="1">IF(OR(K34='Tabla Impacto'!$C$11,K34='Tabla Impacto'!$D$11),"Leve",IF(OR(K34='Tabla Impacto'!$C$12,K34='Tabla Impacto'!$D$12),"Menor",IF(OR(K34='Tabla Impacto'!$C$13,K34='Tabla Impacto'!$D$13),"Moderado",IF(OR(K34='Tabla Impacto'!$C$14,K34='Tabla Impacto'!$D$14),"Mayor",IF(OR(K34='Tabla Impacto'!$C$15,K34='Tabla Impacto'!$D$15),"Catastrófico","")))))</f>
        <v>Menor</v>
      </c>
      <c r="M34" s="271">
        <f ca="1">IF(L34="","",IF(L34="Leve",0.2,IF(L34="Menor",0.4,IF(L34="Moderado",0.6,IF(L34="Mayor",0.8,IF(L34="Catastrófico",1,))))))</f>
        <v>0.4</v>
      </c>
      <c r="N34" s="27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6">
        <v>1</v>
      </c>
      <c r="P34" s="165" t="s">
        <v>248</v>
      </c>
      <c r="Q34" s="138" t="str">
        <f>IF(OR(R34="Preventivo",R34="Detectivo"),"Probabilidad",IF(R34="Correctivo","Impacto",""))</f>
        <v>Probabilidad</v>
      </c>
      <c r="R34" s="139" t="s">
        <v>14</v>
      </c>
      <c r="S34" s="139" t="s">
        <v>10</v>
      </c>
      <c r="T34" s="140" t="str">
        <f>IF(AND(R34="Preventivo",S34="Automático"),"50%",IF(AND(R34="Preventivo",S34="Manual"),"40%",IF(AND(R34="Detectivo",S34="Automático"),"40%",IF(AND(R34="Detectivo",S34="Manual"),"30%",IF(AND(R34="Correctivo",S34="Automático"),"35%",IF(AND(R34="Correctivo",S34="Manual"),"25%",""))))))</f>
        <v>50%</v>
      </c>
      <c r="U34" s="139" t="s">
        <v>19</v>
      </c>
      <c r="V34" s="139" t="s">
        <v>22</v>
      </c>
      <c r="W34" s="139" t="s">
        <v>118</v>
      </c>
      <c r="X34" s="141">
        <f>IFERROR(IF(Q34="Probabilidad",(I34-(+I34*T34)),IF(Q34="Impacto",I34,"")),"")</f>
        <v>0.4</v>
      </c>
      <c r="Y34" s="142" t="str">
        <f>IFERROR(IF(X34="","",IF(X34&lt;=0.2,"Muy Baja",IF(X34&lt;=0.4,"Baja",IF(X34&lt;=0.6,"Media",IF(X34&lt;=0.8,"Alta","Muy Alta"))))),"")</f>
        <v>Baja</v>
      </c>
      <c r="Z34" s="143">
        <f>+X34</f>
        <v>0.4</v>
      </c>
      <c r="AA34" s="142" t="str">
        <f ca="1">IFERROR(IF(AB34="","",IF(AB34&lt;=0.2,"Leve",IF(AB34&lt;=0.4,"Menor",IF(AB34&lt;=0.6,"Moderado",IF(AB34&lt;=0.8,"Mayor","Catastrófico"))))),"")</f>
        <v>Menor</v>
      </c>
      <c r="AB34" s="143">
        <f ca="1">IFERROR(IF(Q34="Impacto",(M34-(+M34*T34)),IF(Q34="Probabilidad",M34,"")),"")</f>
        <v>0.4</v>
      </c>
      <c r="AC34" s="144" t="str">
        <f ca="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45" t="s">
        <v>135</v>
      </c>
      <c r="AE34" s="161" t="s">
        <v>249</v>
      </c>
      <c r="AF34" s="161" t="s">
        <v>213</v>
      </c>
      <c r="AG34" s="161" t="s">
        <v>255</v>
      </c>
      <c r="AH34" s="147">
        <v>45292</v>
      </c>
      <c r="AI34" s="147">
        <v>45657</v>
      </c>
      <c r="AJ34" s="169" t="s">
        <v>256</v>
      </c>
      <c r="AK34" s="148" t="s">
        <v>40</v>
      </c>
      <c r="AL34" s="173" t="s">
        <v>266</v>
      </c>
      <c r="AM34" s="172" t="s">
        <v>266</v>
      </c>
      <c r="AN34" s="171" t="s">
        <v>270</v>
      </c>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3">
      <c r="A35" s="245"/>
      <c r="B35" s="248"/>
      <c r="C35" s="254"/>
      <c r="D35" s="254"/>
      <c r="E35" s="254"/>
      <c r="F35" s="248"/>
      <c r="G35" s="266"/>
      <c r="H35" s="269"/>
      <c r="I35" s="272"/>
      <c r="J35" s="263"/>
      <c r="K35" s="272">
        <f t="shared" ref="K35:K36" ca="1" si="30">IF(NOT(ISERROR(MATCH(J35,_xlfn.ANCHORARRAY(E46),0))),I48&amp;"Por favor no seleccionar los criterios de impacto",J35)</f>
        <v>0</v>
      </c>
      <c r="L35" s="269"/>
      <c r="M35" s="272"/>
      <c r="N35" s="275"/>
      <c r="O35" s="6">
        <v>5</v>
      </c>
      <c r="P35" s="123"/>
      <c r="Q35" s="124" t="str">
        <f t="shared" ref="Q35:Q36" si="31">IF(OR(R35="Preventivo",R35="Detectivo"),"Probabilidad",IF(R35="Correctivo","Impacto",""))</f>
        <v/>
      </c>
      <c r="R35" s="125"/>
      <c r="S35" s="125"/>
      <c r="T35" s="126" t="str">
        <f t="shared" ref="T35:T36" si="32">IF(AND(R35="Preventivo",S35="Automático"),"50%",IF(AND(R35="Preventivo",S35="Manual"),"40%",IF(AND(R35="Detectivo",S35="Automático"),"40%",IF(AND(R35="Detectivo",S35="Manual"),"30%",IF(AND(R35="Correctivo",S35="Automático"),"35%",IF(AND(R35="Correctivo",S35="Manual"),"25%",""))))))</f>
        <v/>
      </c>
      <c r="U35" s="125"/>
      <c r="V35" s="125"/>
      <c r="W35" s="125"/>
      <c r="X35" s="127" t="str">
        <f>IFERROR(IF(AND(#REF!="Probabilidad",Q35="Probabilidad"),(#REF!-(+#REF!*T35)),IF(AND(#REF!="Impacto",Q35="Probabilidad"),(#REF!-(+#REF!*T35)),IF(Q35="Impacto",#REF!,""))),"")</f>
        <v/>
      </c>
      <c r="Y35" s="128" t="str">
        <f t="shared" si="1"/>
        <v/>
      </c>
      <c r="Z35" s="129" t="str">
        <f t="shared" ref="Z35:Z36" si="33">+X35</f>
        <v/>
      </c>
      <c r="AA35" s="128" t="str">
        <f t="shared" si="3"/>
        <v/>
      </c>
      <c r="AB35" s="129" t="str">
        <f>IFERROR(IF(AND(#REF!="Impacto",Q35="Impacto"),(#REF!-(+#REF!*T35)),IF(AND(#REF!="Probabilidad",Q35="Impacto"),(#REF!-(+#REF!*T35)),IF(Q35="Probabilidad",#REF!,""))),"")</f>
        <v/>
      </c>
      <c r="AC35" s="130"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46"/>
      <c r="AF35" s="132"/>
      <c r="AG35" s="161"/>
      <c r="AH35" s="134"/>
      <c r="AI35" s="134"/>
      <c r="AJ35" s="164"/>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3">
      <c r="A36" s="246"/>
      <c r="B36" s="249"/>
      <c r="C36" s="255"/>
      <c r="D36" s="255"/>
      <c r="E36" s="255"/>
      <c r="F36" s="249"/>
      <c r="G36" s="267"/>
      <c r="H36" s="270"/>
      <c r="I36" s="273"/>
      <c r="J36" s="264"/>
      <c r="K36" s="273">
        <f t="shared" ca="1" si="30"/>
        <v>0</v>
      </c>
      <c r="L36" s="270"/>
      <c r="M36" s="273"/>
      <c r="N36" s="276"/>
      <c r="O36" s="6">
        <v>6</v>
      </c>
      <c r="P36" s="123"/>
      <c r="Q36" s="124" t="str">
        <f t="shared" si="31"/>
        <v/>
      </c>
      <c r="R36" s="125"/>
      <c r="S36" s="125"/>
      <c r="T36" s="126" t="str">
        <f t="shared" si="32"/>
        <v/>
      </c>
      <c r="U36" s="125"/>
      <c r="V36" s="125"/>
      <c r="W36" s="125"/>
      <c r="X36" s="127" t="str">
        <f>IFERROR(IF(AND(Q35="Probabilidad",Q36="Probabilidad"),(Z35-(+Z35*T36)),IF(AND(Q35="Impacto",Q36="Probabilidad"),(#REF!-(+#REF!*T36)),IF(Q36="Impacto",Z35,""))),"")</f>
        <v/>
      </c>
      <c r="Y36" s="128" t="str">
        <f t="shared" si="1"/>
        <v/>
      </c>
      <c r="Z36" s="129" t="str">
        <f t="shared" si="33"/>
        <v/>
      </c>
      <c r="AA36" s="128" t="str">
        <f t="shared" si="3"/>
        <v/>
      </c>
      <c r="AB36" s="129" t="str">
        <f>IFERROR(IF(AND(Q35="Impacto",Q36="Impacto"),(AB35-(+AB35*T36)),IF(AND(Q35="Probabilidad",Q36="Impacto"),(#REF!-(+#REF!*T36)),IF(Q36="Probabilidad",AB35,""))),"")</f>
        <v/>
      </c>
      <c r="AC36" s="130" t="str">
        <f t="shared" si="34"/>
        <v/>
      </c>
      <c r="AD36" s="131"/>
      <c r="AE36" s="146"/>
      <c r="AF36" s="132"/>
      <c r="AG36" s="161"/>
      <c r="AH36" s="134"/>
      <c r="AI36" s="134"/>
      <c r="AJ36" s="164"/>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8.25" hidden="1" customHeight="1" x14ac:dyDescent="0.3">
      <c r="A37" s="244">
        <v>6</v>
      </c>
      <c r="B37" s="247"/>
      <c r="C37" s="247"/>
      <c r="D37" s="253"/>
      <c r="E37" s="253"/>
      <c r="F37" s="247"/>
      <c r="G37" s="265"/>
      <c r="H37" s="268"/>
      <c r="I37" s="271"/>
      <c r="J37" s="262"/>
      <c r="K37" s="271"/>
      <c r="L37" s="268"/>
      <c r="M37" s="271"/>
      <c r="N37" s="274"/>
      <c r="O37" s="6"/>
      <c r="P37" s="149"/>
      <c r="Q37" s="138"/>
      <c r="R37" s="139"/>
      <c r="S37" s="139"/>
      <c r="T37" s="140"/>
      <c r="U37" s="139"/>
      <c r="V37" s="139"/>
      <c r="W37" s="139"/>
      <c r="X37" s="141"/>
      <c r="Y37" s="142"/>
      <c r="Z37" s="143"/>
      <c r="AA37" s="142"/>
      <c r="AB37" s="143"/>
      <c r="AC37" s="144"/>
      <c r="AD37" s="145"/>
      <c r="AE37" s="146"/>
      <c r="AF37" s="146"/>
      <c r="AG37" s="161"/>
      <c r="AH37" s="147"/>
      <c r="AI37" s="147"/>
      <c r="AJ37" s="163"/>
      <c r="AK37" s="162"/>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3">
      <c r="A38" s="245"/>
      <c r="B38" s="248"/>
      <c r="C38" s="248"/>
      <c r="D38" s="254"/>
      <c r="E38" s="254"/>
      <c r="F38" s="248"/>
      <c r="G38" s="266"/>
      <c r="H38" s="269"/>
      <c r="I38" s="272"/>
      <c r="J38" s="263"/>
      <c r="K38" s="272"/>
      <c r="L38" s="269"/>
      <c r="M38" s="272"/>
      <c r="N38" s="275"/>
      <c r="O38" s="6"/>
      <c r="P38" s="149"/>
      <c r="Q38" s="138"/>
      <c r="R38" s="139"/>
      <c r="S38" s="139"/>
      <c r="T38" s="140"/>
      <c r="U38" s="139"/>
      <c r="V38" s="139"/>
      <c r="W38" s="139"/>
      <c r="X38" s="141"/>
      <c r="Y38" s="142"/>
      <c r="Z38" s="143"/>
      <c r="AA38" s="142"/>
      <c r="AB38" s="143"/>
      <c r="AC38" s="144"/>
      <c r="AD38" s="145"/>
      <c r="AE38" s="146"/>
      <c r="AF38" s="146"/>
      <c r="AG38" s="146"/>
      <c r="AH38" s="147"/>
      <c r="AI38" s="147"/>
      <c r="AJ38" s="146"/>
      <c r="AK38" s="148"/>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3">
      <c r="A39" s="245"/>
      <c r="B39" s="248"/>
      <c r="C39" s="248"/>
      <c r="D39" s="254"/>
      <c r="E39" s="254"/>
      <c r="F39" s="248"/>
      <c r="G39" s="266"/>
      <c r="H39" s="269"/>
      <c r="I39" s="272"/>
      <c r="J39" s="263"/>
      <c r="K39" s="272"/>
      <c r="L39" s="269"/>
      <c r="M39" s="272"/>
      <c r="N39" s="275"/>
      <c r="O39" s="6"/>
      <c r="P39" s="146"/>
      <c r="Q39" s="138"/>
      <c r="R39" s="139"/>
      <c r="S39" s="139"/>
      <c r="T39" s="140"/>
      <c r="U39" s="139"/>
      <c r="V39" s="139"/>
      <c r="W39" s="139"/>
      <c r="X39" s="141"/>
      <c r="Y39" s="142"/>
      <c r="Z39" s="143"/>
      <c r="AA39" s="142"/>
      <c r="AB39" s="143"/>
      <c r="AC39" s="144"/>
      <c r="AD39" s="145"/>
      <c r="AE39" s="146"/>
      <c r="AF39" s="146"/>
      <c r="AG39" s="146"/>
      <c r="AH39" s="147"/>
      <c r="AI39" s="147"/>
      <c r="AJ39" s="146"/>
      <c r="AK39" s="148"/>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3">
      <c r="A40" s="245"/>
      <c r="B40" s="248"/>
      <c r="C40" s="248"/>
      <c r="D40" s="254"/>
      <c r="E40" s="254"/>
      <c r="F40" s="248"/>
      <c r="G40" s="266"/>
      <c r="H40" s="269"/>
      <c r="I40" s="272"/>
      <c r="J40" s="263"/>
      <c r="K40" s="272"/>
      <c r="L40" s="269"/>
      <c r="M40" s="272"/>
      <c r="N40" s="275"/>
      <c r="O40" s="122"/>
      <c r="P40" s="123"/>
      <c r="Q40" s="124"/>
      <c r="R40" s="125"/>
      <c r="S40" s="125"/>
      <c r="T40" s="126"/>
      <c r="U40" s="125"/>
      <c r="V40" s="125"/>
      <c r="W40" s="125"/>
      <c r="X40" s="127"/>
      <c r="Y40" s="128"/>
      <c r="Z40" s="129"/>
      <c r="AA40" s="128"/>
      <c r="AB40" s="129"/>
      <c r="AC40" s="130"/>
      <c r="AD40" s="131"/>
      <c r="AE40" s="132"/>
      <c r="AF40" s="132"/>
      <c r="AG40" s="133"/>
      <c r="AH40" s="134"/>
      <c r="AI40" s="134"/>
      <c r="AJ40" s="132"/>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3">
      <c r="A41" s="245"/>
      <c r="B41" s="248"/>
      <c r="C41" s="248"/>
      <c r="D41" s="254"/>
      <c r="E41" s="254"/>
      <c r="F41" s="248"/>
      <c r="G41" s="266"/>
      <c r="H41" s="269"/>
      <c r="I41" s="272"/>
      <c r="J41" s="263"/>
      <c r="K41" s="272"/>
      <c r="L41" s="269"/>
      <c r="M41" s="272"/>
      <c r="N41" s="275"/>
      <c r="O41" s="122"/>
      <c r="P41" s="123"/>
      <c r="Q41" s="124"/>
      <c r="R41" s="125"/>
      <c r="S41" s="125"/>
      <c r="T41" s="126"/>
      <c r="U41" s="125"/>
      <c r="V41" s="125"/>
      <c r="W41" s="125"/>
      <c r="X41" s="127"/>
      <c r="Y41" s="128"/>
      <c r="Z41" s="129"/>
      <c r="AA41" s="128"/>
      <c r="AB41" s="129"/>
      <c r="AC41" s="130"/>
      <c r="AD41" s="131"/>
      <c r="AE41" s="132"/>
      <c r="AF41" s="132"/>
      <c r="AG41" s="133"/>
      <c r="AH41" s="134"/>
      <c r="AI41" s="134"/>
      <c r="AJ41" s="132"/>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3">
      <c r="A42" s="246"/>
      <c r="B42" s="249"/>
      <c r="C42" s="249"/>
      <c r="D42" s="255"/>
      <c r="E42" s="255"/>
      <c r="F42" s="249"/>
      <c r="G42" s="267"/>
      <c r="H42" s="270"/>
      <c r="I42" s="273"/>
      <c r="J42" s="264"/>
      <c r="K42" s="273"/>
      <c r="L42" s="270"/>
      <c r="M42" s="273"/>
      <c r="N42" s="276"/>
      <c r="O42" s="122"/>
      <c r="P42" s="123"/>
      <c r="Q42" s="124"/>
      <c r="R42" s="125"/>
      <c r="S42" s="125"/>
      <c r="T42" s="126"/>
      <c r="U42" s="125"/>
      <c r="V42" s="125"/>
      <c r="W42" s="125"/>
      <c r="X42" s="127"/>
      <c r="Y42" s="128"/>
      <c r="Z42" s="129"/>
      <c r="AA42" s="128"/>
      <c r="AB42" s="129"/>
      <c r="AC42" s="130"/>
      <c r="AD42" s="131"/>
      <c r="AE42" s="132"/>
      <c r="AF42" s="132"/>
      <c r="AG42" s="133"/>
      <c r="AH42" s="134"/>
      <c r="AI42" s="134"/>
      <c r="AJ42" s="132"/>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3">
      <c r="A43" s="244"/>
      <c r="B43" s="247"/>
      <c r="C43" s="155"/>
      <c r="D43" s="152"/>
      <c r="E43" s="158"/>
      <c r="F43" s="155"/>
      <c r="G43" s="256"/>
      <c r="H43" s="259"/>
      <c r="I43" s="238"/>
      <c r="J43" s="262"/>
      <c r="K43" s="238"/>
      <c r="L43" s="259"/>
      <c r="M43" s="238"/>
      <c r="N43" s="241"/>
      <c r="O43" s="122"/>
      <c r="P43" s="149"/>
      <c r="Q43" s="124"/>
      <c r="R43" s="125"/>
      <c r="S43" s="125"/>
      <c r="T43" s="126"/>
      <c r="U43" s="125"/>
      <c r="V43" s="125"/>
      <c r="W43" s="125"/>
      <c r="X43" s="127"/>
      <c r="Y43" s="128"/>
      <c r="Z43" s="129"/>
      <c r="AA43" s="128"/>
      <c r="AB43" s="129"/>
      <c r="AC43" s="130"/>
      <c r="AD43" s="131"/>
      <c r="AE43" s="132"/>
      <c r="AF43" s="146"/>
      <c r="AG43" s="146"/>
      <c r="AH43" s="147"/>
      <c r="AI43" s="147"/>
      <c r="AJ43" s="132"/>
      <c r="AK43" s="13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3">
      <c r="A44" s="245"/>
      <c r="B44" s="248"/>
      <c r="C44" s="156"/>
      <c r="D44" s="153"/>
      <c r="E44" s="159"/>
      <c r="F44" s="156"/>
      <c r="G44" s="257"/>
      <c r="H44" s="260"/>
      <c r="I44" s="239"/>
      <c r="J44" s="263"/>
      <c r="K44" s="239"/>
      <c r="L44" s="260"/>
      <c r="M44" s="239"/>
      <c r="N44" s="242"/>
      <c r="O44" s="122"/>
      <c r="P44" s="149"/>
      <c r="Q44" s="124"/>
      <c r="R44" s="125"/>
      <c r="S44" s="125"/>
      <c r="T44" s="126"/>
      <c r="U44" s="125"/>
      <c r="V44" s="125"/>
      <c r="W44" s="125"/>
      <c r="X44" s="127"/>
      <c r="Y44" s="128"/>
      <c r="Z44" s="129"/>
      <c r="AA44" s="128"/>
      <c r="AB44" s="129"/>
      <c r="AC44" s="130"/>
      <c r="AD44" s="131"/>
      <c r="AE44" s="132"/>
      <c r="AF44" s="132"/>
      <c r="AG44" s="133"/>
      <c r="AH44" s="147"/>
      <c r="AI44" s="147"/>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3">
      <c r="A45" s="245"/>
      <c r="B45" s="248"/>
      <c r="C45" s="156"/>
      <c r="D45" s="153"/>
      <c r="E45" s="159"/>
      <c r="F45" s="156"/>
      <c r="G45" s="257"/>
      <c r="H45" s="260"/>
      <c r="I45" s="239"/>
      <c r="J45" s="263"/>
      <c r="K45" s="239"/>
      <c r="L45" s="260"/>
      <c r="M45" s="239"/>
      <c r="N45" s="242"/>
      <c r="O45" s="122"/>
      <c r="P45" s="148"/>
      <c r="Q45" s="124"/>
      <c r="R45" s="125"/>
      <c r="S45" s="125"/>
      <c r="T45" s="126"/>
      <c r="U45" s="125"/>
      <c r="V45" s="125"/>
      <c r="W45" s="125"/>
      <c r="X45" s="127"/>
      <c r="Y45" s="128"/>
      <c r="Z45" s="129"/>
      <c r="AA45" s="128"/>
      <c r="AB45" s="129"/>
      <c r="AC45" s="130"/>
      <c r="AD45" s="131"/>
      <c r="AE45" s="132"/>
      <c r="AF45" s="132"/>
      <c r="AG45" s="133"/>
      <c r="AH45" s="147"/>
      <c r="AI45" s="147"/>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3">
      <c r="A46" s="245"/>
      <c r="B46" s="248"/>
      <c r="C46" s="156"/>
      <c r="D46" s="153"/>
      <c r="E46" s="159"/>
      <c r="F46" s="156"/>
      <c r="G46" s="257"/>
      <c r="H46" s="260"/>
      <c r="I46" s="239"/>
      <c r="J46" s="263"/>
      <c r="K46" s="239"/>
      <c r="L46" s="260"/>
      <c r="M46" s="239"/>
      <c r="N46" s="242"/>
      <c r="O46" s="122"/>
      <c r="P46" s="149"/>
      <c r="Q46" s="124"/>
      <c r="R46" s="125"/>
      <c r="S46" s="125"/>
      <c r="T46" s="126"/>
      <c r="U46" s="125"/>
      <c r="V46" s="125"/>
      <c r="W46" s="125"/>
      <c r="X46" s="127"/>
      <c r="Y46" s="128"/>
      <c r="Z46" s="129"/>
      <c r="AA46" s="128"/>
      <c r="AB46" s="129"/>
      <c r="AC46" s="130"/>
      <c r="AD46" s="131"/>
      <c r="AE46" s="132"/>
      <c r="AF46" s="132"/>
      <c r="AG46" s="133"/>
      <c r="AH46" s="147"/>
      <c r="AI46" s="147"/>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3">
      <c r="A47" s="245"/>
      <c r="B47" s="248"/>
      <c r="C47" s="156"/>
      <c r="D47" s="153"/>
      <c r="E47" s="159"/>
      <c r="F47" s="156"/>
      <c r="G47" s="257"/>
      <c r="H47" s="260"/>
      <c r="I47" s="239"/>
      <c r="J47" s="263"/>
      <c r="K47" s="239"/>
      <c r="L47" s="260"/>
      <c r="M47" s="239"/>
      <c r="N47" s="242"/>
      <c r="O47" s="122"/>
      <c r="P47" s="149"/>
      <c r="Q47" s="124"/>
      <c r="R47" s="125"/>
      <c r="S47" s="125"/>
      <c r="T47" s="126"/>
      <c r="U47" s="125"/>
      <c r="V47" s="125"/>
      <c r="W47" s="125"/>
      <c r="X47" s="127"/>
      <c r="Y47" s="128"/>
      <c r="Z47" s="129"/>
      <c r="AA47" s="128"/>
      <c r="AB47" s="129"/>
      <c r="AC47" s="130"/>
      <c r="AD47" s="131"/>
      <c r="AE47" s="132"/>
      <c r="AF47" s="132"/>
      <c r="AG47" s="133"/>
      <c r="AH47" s="147"/>
      <c r="AI47" s="147"/>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3">
      <c r="A48" s="246"/>
      <c r="B48" s="249"/>
      <c r="C48" s="157"/>
      <c r="D48" s="154"/>
      <c r="E48" s="160"/>
      <c r="F48" s="157"/>
      <c r="G48" s="258"/>
      <c r="H48" s="261"/>
      <c r="I48" s="240"/>
      <c r="J48" s="264"/>
      <c r="K48" s="240"/>
      <c r="L48" s="261"/>
      <c r="M48" s="240"/>
      <c r="N48" s="243"/>
      <c r="O48" s="122"/>
      <c r="P48" s="149"/>
      <c r="Q48" s="124"/>
      <c r="R48" s="125"/>
      <c r="S48" s="125"/>
      <c r="T48" s="126"/>
      <c r="U48" s="125"/>
      <c r="V48" s="125"/>
      <c r="W48" s="125"/>
      <c r="X48" s="127"/>
      <c r="Y48" s="128"/>
      <c r="Z48" s="129"/>
      <c r="AA48" s="128"/>
      <c r="AB48" s="129"/>
      <c r="AC48" s="130"/>
      <c r="AD48" s="131"/>
      <c r="AE48" s="132"/>
      <c r="AF48" s="132"/>
      <c r="AG48" s="133"/>
      <c r="AH48" s="147"/>
      <c r="AI48" s="147"/>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3">
      <c r="A49" s="244"/>
      <c r="B49" s="247"/>
      <c r="C49" s="155"/>
      <c r="D49" s="152"/>
      <c r="E49" s="158"/>
      <c r="F49" s="155"/>
      <c r="G49" s="256"/>
      <c r="H49" s="259"/>
      <c r="I49" s="238"/>
      <c r="J49" s="262"/>
      <c r="K49" s="238"/>
      <c r="L49" s="259"/>
      <c r="M49" s="238"/>
      <c r="N49" s="241"/>
      <c r="O49" s="122"/>
      <c r="P49" s="149"/>
      <c r="Q49" s="124"/>
      <c r="R49" s="125"/>
      <c r="S49" s="125"/>
      <c r="T49" s="126"/>
      <c r="U49" s="125"/>
      <c r="V49" s="125"/>
      <c r="W49" s="125"/>
      <c r="X49" s="127"/>
      <c r="Y49" s="128"/>
      <c r="Z49" s="129"/>
      <c r="AA49" s="128"/>
      <c r="AB49" s="129"/>
      <c r="AC49" s="130"/>
      <c r="AD49" s="131"/>
      <c r="AE49" s="132"/>
      <c r="AF49" s="146"/>
      <c r="AG49" s="146"/>
      <c r="AH49" s="147"/>
      <c r="AI49" s="147"/>
      <c r="AJ49" s="132"/>
      <c r="AK49" s="13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245"/>
      <c r="B50" s="248"/>
      <c r="C50" s="156"/>
      <c r="D50" s="153"/>
      <c r="E50" s="159"/>
      <c r="F50" s="156"/>
      <c r="G50" s="257"/>
      <c r="H50" s="260"/>
      <c r="I50" s="239"/>
      <c r="J50" s="263"/>
      <c r="K50" s="239"/>
      <c r="L50" s="260"/>
      <c r="M50" s="239"/>
      <c r="N50" s="242"/>
      <c r="O50" s="122"/>
      <c r="P50" s="149"/>
      <c r="Q50" s="124"/>
      <c r="R50" s="125"/>
      <c r="S50" s="125"/>
      <c r="T50" s="126"/>
      <c r="U50" s="125"/>
      <c r="V50" s="125"/>
      <c r="W50" s="125"/>
      <c r="X50" s="127"/>
      <c r="Y50" s="128"/>
      <c r="Z50" s="129"/>
      <c r="AA50" s="128"/>
      <c r="AB50" s="129"/>
      <c r="AC50" s="130"/>
      <c r="AD50" s="131"/>
      <c r="AE50" s="132"/>
      <c r="AF50" s="132"/>
      <c r="AG50" s="146"/>
      <c r="AH50" s="147"/>
      <c r="AI50" s="147"/>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245"/>
      <c r="B51" s="248"/>
      <c r="C51" s="156"/>
      <c r="D51" s="153"/>
      <c r="E51" s="159"/>
      <c r="F51" s="156"/>
      <c r="G51" s="257"/>
      <c r="H51" s="260"/>
      <c r="I51" s="239"/>
      <c r="J51" s="263"/>
      <c r="K51" s="239"/>
      <c r="L51" s="260"/>
      <c r="M51" s="239"/>
      <c r="N51" s="242"/>
      <c r="O51" s="122"/>
      <c r="P51" s="148"/>
      <c r="Q51" s="124"/>
      <c r="R51" s="125"/>
      <c r="S51" s="125"/>
      <c r="T51" s="126"/>
      <c r="U51" s="125"/>
      <c r="V51" s="125"/>
      <c r="W51" s="125"/>
      <c r="X51" s="127"/>
      <c r="Y51" s="128"/>
      <c r="Z51" s="129"/>
      <c r="AA51" s="128"/>
      <c r="AB51" s="129"/>
      <c r="AC51" s="130"/>
      <c r="AD51" s="131"/>
      <c r="AE51" s="132"/>
      <c r="AF51" s="132"/>
      <c r="AG51" s="146"/>
      <c r="AH51" s="147"/>
      <c r="AI51" s="147"/>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245"/>
      <c r="B52" s="248"/>
      <c r="C52" s="156"/>
      <c r="D52" s="153"/>
      <c r="E52" s="159"/>
      <c r="F52" s="156"/>
      <c r="G52" s="257"/>
      <c r="H52" s="260"/>
      <c r="I52" s="239"/>
      <c r="J52" s="263"/>
      <c r="K52" s="239"/>
      <c r="L52" s="260"/>
      <c r="M52" s="239"/>
      <c r="N52" s="242"/>
      <c r="O52" s="122"/>
      <c r="P52" s="149"/>
      <c r="Q52" s="124"/>
      <c r="R52" s="125"/>
      <c r="S52" s="125"/>
      <c r="T52" s="126"/>
      <c r="U52" s="125"/>
      <c r="V52" s="125"/>
      <c r="W52" s="125"/>
      <c r="X52" s="127"/>
      <c r="Y52" s="128"/>
      <c r="Z52" s="129"/>
      <c r="AA52" s="128"/>
      <c r="AB52" s="129"/>
      <c r="AC52" s="130"/>
      <c r="AD52" s="131"/>
      <c r="AE52" s="132"/>
      <c r="AF52" s="132"/>
      <c r="AG52" s="146"/>
      <c r="AH52" s="147"/>
      <c r="AI52" s="147"/>
      <c r="AJ52" s="132"/>
      <c r="AK52" s="13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245"/>
      <c r="B53" s="248"/>
      <c r="C53" s="156"/>
      <c r="D53" s="153"/>
      <c r="E53" s="159"/>
      <c r="F53" s="156"/>
      <c r="G53" s="257"/>
      <c r="H53" s="260"/>
      <c r="I53" s="239"/>
      <c r="J53" s="263"/>
      <c r="K53" s="239"/>
      <c r="L53" s="260"/>
      <c r="M53" s="239"/>
      <c r="N53" s="242"/>
      <c r="O53" s="122"/>
      <c r="P53" s="149"/>
      <c r="Q53" s="124"/>
      <c r="R53" s="125"/>
      <c r="S53" s="125"/>
      <c r="T53" s="126"/>
      <c r="U53" s="125"/>
      <c r="V53" s="125"/>
      <c r="W53" s="125"/>
      <c r="X53" s="127"/>
      <c r="Y53" s="128"/>
      <c r="Z53" s="129"/>
      <c r="AA53" s="128"/>
      <c r="AB53" s="129"/>
      <c r="AC53" s="130"/>
      <c r="AD53" s="131"/>
      <c r="AE53" s="132"/>
      <c r="AF53" s="132"/>
      <c r="AG53" s="146"/>
      <c r="AH53" s="147"/>
      <c r="AI53" s="147"/>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246"/>
      <c r="B54" s="249"/>
      <c r="C54" s="157"/>
      <c r="D54" s="154"/>
      <c r="E54" s="160"/>
      <c r="F54" s="157"/>
      <c r="G54" s="258"/>
      <c r="H54" s="261"/>
      <c r="I54" s="240"/>
      <c r="J54" s="264"/>
      <c r="K54" s="240"/>
      <c r="L54" s="261"/>
      <c r="M54" s="240"/>
      <c r="N54" s="243"/>
      <c r="O54" s="122"/>
      <c r="P54" s="149"/>
      <c r="Q54" s="124"/>
      <c r="R54" s="125"/>
      <c r="S54" s="125"/>
      <c r="T54" s="126"/>
      <c r="U54" s="125"/>
      <c r="V54" s="125"/>
      <c r="W54" s="125"/>
      <c r="X54" s="127"/>
      <c r="Y54" s="128"/>
      <c r="Z54" s="129"/>
      <c r="AA54" s="128"/>
      <c r="AB54" s="129"/>
      <c r="AC54" s="130"/>
      <c r="AD54" s="131"/>
      <c r="AE54" s="132"/>
      <c r="AF54" s="132"/>
      <c r="AG54" s="146"/>
      <c r="AH54" s="147"/>
      <c r="AI54" s="147"/>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244"/>
      <c r="B55" s="247"/>
      <c r="C55" s="247"/>
      <c r="D55" s="250"/>
      <c r="E55" s="253"/>
      <c r="F55" s="247"/>
      <c r="G55" s="256"/>
      <c r="H55" s="259"/>
      <c r="I55" s="238"/>
      <c r="J55" s="262"/>
      <c r="K55" s="238"/>
      <c r="L55" s="259"/>
      <c r="M55" s="238"/>
      <c r="N55" s="241"/>
      <c r="O55" s="122"/>
      <c r="P55" s="149"/>
      <c r="Q55" s="124"/>
      <c r="R55" s="125"/>
      <c r="S55" s="125"/>
      <c r="T55" s="126"/>
      <c r="U55" s="125"/>
      <c r="V55" s="125"/>
      <c r="W55" s="125"/>
      <c r="X55" s="127"/>
      <c r="Y55" s="128"/>
      <c r="Z55" s="129"/>
      <c r="AA55" s="128"/>
      <c r="AB55" s="129"/>
      <c r="AC55" s="130"/>
      <c r="AD55" s="131"/>
      <c r="AE55" s="132"/>
      <c r="AF55" s="146"/>
      <c r="AG55" s="146"/>
      <c r="AH55" s="147"/>
      <c r="AI55" s="147"/>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245"/>
      <c r="B56" s="248"/>
      <c r="C56" s="248"/>
      <c r="D56" s="251"/>
      <c r="E56" s="254"/>
      <c r="F56" s="248"/>
      <c r="G56" s="257"/>
      <c r="H56" s="260"/>
      <c r="I56" s="239"/>
      <c r="J56" s="263"/>
      <c r="K56" s="239"/>
      <c r="L56" s="260"/>
      <c r="M56" s="239"/>
      <c r="N56" s="242"/>
      <c r="O56" s="122"/>
      <c r="P56" s="149"/>
      <c r="Q56" s="124"/>
      <c r="R56" s="125"/>
      <c r="S56" s="125"/>
      <c r="T56" s="126"/>
      <c r="U56" s="125"/>
      <c r="V56" s="125"/>
      <c r="W56" s="125"/>
      <c r="X56" s="127"/>
      <c r="Y56" s="128"/>
      <c r="Z56" s="129"/>
      <c r="AA56" s="128"/>
      <c r="AB56" s="129"/>
      <c r="AC56" s="130"/>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245"/>
      <c r="B57" s="248"/>
      <c r="C57" s="248"/>
      <c r="D57" s="251"/>
      <c r="E57" s="254"/>
      <c r="F57" s="248"/>
      <c r="G57" s="257"/>
      <c r="H57" s="260"/>
      <c r="I57" s="239"/>
      <c r="J57" s="263"/>
      <c r="K57" s="239"/>
      <c r="L57" s="260"/>
      <c r="M57" s="239"/>
      <c r="N57" s="242"/>
      <c r="O57" s="122"/>
      <c r="P57" s="148"/>
      <c r="Q57" s="124"/>
      <c r="R57" s="125"/>
      <c r="S57" s="125"/>
      <c r="T57" s="126"/>
      <c r="U57" s="125"/>
      <c r="V57" s="125"/>
      <c r="W57" s="125"/>
      <c r="X57" s="127"/>
      <c r="Y57" s="128"/>
      <c r="Z57" s="129"/>
      <c r="AA57" s="128"/>
      <c r="AB57" s="129"/>
      <c r="AC57" s="130"/>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245"/>
      <c r="B58" s="248"/>
      <c r="C58" s="248"/>
      <c r="D58" s="251"/>
      <c r="E58" s="254"/>
      <c r="F58" s="248"/>
      <c r="G58" s="257"/>
      <c r="H58" s="260"/>
      <c r="I58" s="239"/>
      <c r="J58" s="263"/>
      <c r="K58" s="239"/>
      <c r="L58" s="260"/>
      <c r="M58" s="239"/>
      <c r="N58" s="242"/>
      <c r="O58" s="122"/>
      <c r="P58" s="149"/>
      <c r="Q58" s="124"/>
      <c r="R58" s="125"/>
      <c r="S58" s="125"/>
      <c r="T58" s="126"/>
      <c r="U58" s="125"/>
      <c r="V58" s="125"/>
      <c r="W58" s="125"/>
      <c r="X58" s="127"/>
      <c r="Y58" s="128"/>
      <c r="Z58" s="129"/>
      <c r="AA58" s="128"/>
      <c r="AB58" s="129"/>
      <c r="AC58" s="130"/>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245"/>
      <c r="B59" s="248"/>
      <c r="C59" s="248"/>
      <c r="D59" s="251"/>
      <c r="E59" s="254"/>
      <c r="F59" s="248"/>
      <c r="G59" s="257"/>
      <c r="H59" s="260"/>
      <c r="I59" s="239"/>
      <c r="J59" s="263"/>
      <c r="K59" s="239"/>
      <c r="L59" s="260"/>
      <c r="M59" s="239"/>
      <c r="N59" s="242"/>
      <c r="O59" s="122"/>
      <c r="P59" s="149"/>
      <c r="Q59" s="124"/>
      <c r="R59" s="125"/>
      <c r="S59" s="125"/>
      <c r="T59" s="126"/>
      <c r="U59" s="125"/>
      <c r="V59" s="125"/>
      <c r="W59" s="125"/>
      <c r="X59" s="127"/>
      <c r="Y59" s="128"/>
      <c r="Z59" s="129"/>
      <c r="AA59" s="128"/>
      <c r="AB59" s="129"/>
      <c r="AC59" s="130"/>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246"/>
      <c r="B60" s="249"/>
      <c r="C60" s="249"/>
      <c r="D60" s="252"/>
      <c r="E60" s="255"/>
      <c r="F60" s="249"/>
      <c r="G60" s="258"/>
      <c r="H60" s="261"/>
      <c r="I60" s="240"/>
      <c r="J60" s="264"/>
      <c r="K60" s="240"/>
      <c r="L60" s="261"/>
      <c r="M60" s="240"/>
      <c r="N60" s="243"/>
      <c r="O60" s="122"/>
      <c r="P60" s="149"/>
      <c r="Q60" s="124"/>
      <c r="R60" s="125"/>
      <c r="S60" s="125"/>
      <c r="T60" s="126"/>
      <c r="U60" s="125"/>
      <c r="V60" s="125"/>
      <c r="W60" s="125"/>
      <c r="X60" s="127"/>
      <c r="Y60" s="128"/>
      <c r="Z60" s="129"/>
      <c r="AA60" s="128"/>
      <c r="AB60" s="129"/>
      <c r="AC60" s="130"/>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244">
        <v>10</v>
      </c>
      <c r="B61" s="247"/>
      <c r="C61" s="247"/>
      <c r="D61" s="250"/>
      <c r="E61" s="253"/>
      <c r="F61" s="247"/>
      <c r="G61" s="256"/>
      <c r="H61" s="259" t="str">
        <f>IF(G61&lt;=0,"",IF(G61&lt;=2,"Muy Baja",IF(G61&lt;=24,"Baja",IF(G61&lt;=500,"Media",IF(G61&lt;=5000,"Alta","Muy Alta")))))</f>
        <v/>
      </c>
      <c r="I61" s="238" t="str">
        <f>IF(H61="","",IF(H61="Muy Baja",0.2,IF(H61="Baja",0.4,IF(H61="Media",0.6,IF(H61="Alta",0.8,IF(H61="Muy Alta",1,))))))</f>
        <v/>
      </c>
      <c r="J61" s="262"/>
      <c r="K61" s="238">
        <f ca="1">IF(NOT(ISERROR(MATCH(J61,'Tabla Impacto'!$B$221:$B$223,0))),'Tabla Impacto'!$F$223&amp;"Por favor no seleccionar los criterios de impacto(Afectación Económica o presupuestal y Pérdida Reputacional)",J61)</f>
        <v>0</v>
      </c>
      <c r="L61" s="259" t="str">
        <f ca="1">IF(OR(K61='Tabla Impacto'!$C$11,K61='Tabla Impacto'!$D$11),"Leve",IF(OR(K61='Tabla Impacto'!$C$12,K61='Tabla Impacto'!$D$12),"Menor",IF(OR(K61='Tabla Impacto'!$C$13,K61='Tabla Impacto'!$D$13),"Moderado",IF(OR(K61='Tabla Impacto'!$C$14,K61='Tabla Impacto'!$D$14),"Mayor",IF(OR(K61='Tabla Impacto'!$C$15,K61='Tabla Impacto'!$D$15),"Catastrófico","")))))</f>
        <v/>
      </c>
      <c r="M61" s="238" t="str">
        <f ca="1">IF(L61="","",IF(L61="Leve",0.2,IF(L61="Menor",0.4,IF(L61="Moderado",0.6,IF(L61="Mayor",0.8,IF(L61="Catastrófico",1,))))))</f>
        <v/>
      </c>
      <c r="N61" s="241" t="str">
        <f ca="1">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2"/>
      <c r="P61" s="149"/>
      <c r="Q61" s="124"/>
      <c r="R61" s="125"/>
      <c r="S61" s="125"/>
      <c r="T61" s="126"/>
      <c r="U61" s="125"/>
      <c r="V61" s="125"/>
      <c r="W61" s="125"/>
      <c r="X61" s="127"/>
      <c r="Y61" s="128"/>
      <c r="Z61" s="129"/>
      <c r="AA61" s="128"/>
      <c r="AB61" s="129"/>
      <c r="AC61" s="130"/>
      <c r="AD61" s="131"/>
      <c r="AE61" s="132"/>
      <c r="AF61" s="146"/>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245"/>
      <c r="B62" s="248"/>
      <c r="C62" s="248"/>
      <c r="D62" s="251"/>
      <c r="E62" s="254"/>
      <c r="F62" s="248"/>
      <c r="G62" s="257"/>
      <c r="H62" s="260"/>
      <c r="I62" s="239"/>
      <c r="J62" s="263"/>
      <c r="K62" s="239">
        <f ca="1">IF(NOT(ISERROR(MATCH(J62,_xlfn.ANCHORARRAY(E73),0))),I75&amp;"Por favor no seleccionar los criterios de impacto",J62)</f>
        <v>0</v>
      </c>
      <c r="L62" s="260"/>
      <c r="M62" s="239"/>
      <c r="N62" s="242"/>
      <c r="O62" s="122">
        <v>2</v>
      </c>
      <c r="P62" s="123"/>
      <c r="Q62" s="124" t="str">
        <f>IF(OR(R62="Preventivo",R62="Detectivo"),"Probabilidad",IF(R62="Correctivo","Impacto",""))</f>
        <v/>
      </c>
      <c r="R62" s="125"/>
      <c r="S62" s="125"/>
      <c r="T62" s="126" t="str">
        <f t="shared" ref="T62:T66" si="35">IF(AND(R62="Preventivo",S62="Automático"),"50%",IF(AND(R62="Preventivo",S62="Manual"),"40%",IF(AND(R62="Detectivo",S62="Automático"),"40%",IF(AND(R62="Detectivo",S62="Manual"),"30%",IF(AND(R62="Correctivo",S62="Automático"),"35%",IF(AND(R62="Correctivo",S62="Manual"),"25%",""))))))</f>
        <v/>
      </c>
      <c r="U62" s="125"/>
      <c r="V62" s="125"/>
      <c r="W62" s="125"/>
      <c r="X62" s="127" t="str">
        <f>IFERROR(IF(AND(Q61="Probabilidad",Q62="Probabilidad"),(Z61-(+Z61*T62)),IF(Q62="Probabilidad",(I61-(+I61*T62)),IF(Q62="Impacto",Z61,""))),"")</f>
        <v/>
      </c>
      <c r="Y62" s="128" t="str">
        <f t="shared" si="1"/>
        <v/>
      </c>
      <c r="Z62" s="129" t="str">
        <f t="shared" ref="Z62:Z66" si="36">+X62</f>
        <v/>
      </c>
      <c r="AA62" s="128" t="str">
        <f t="shared" si="3"/>
        <v/>
      </c>
      <c r="AB62" s="129" t="str">
        <f>IFERROR(IF(AND(Q61="Impacto",Q62="Impacto"),(AB61-(+AB61*T62)),IF(Q62="Impacto",(M61-(+M61*T62)),IF(Q62="Probabilidad",AB61,""))),"")</f>
        <v/>
      </c>
      <c r="AC62" s="130" t="str">
        <f t="shared" ref="AC62:AC63" si="3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row>
    <row r="63" spans="1:69" ht="151.5" hidden="1" customHeight="1" x14ac:dyDescent="0.3">
      <c r="A63" s="245"/>
      <c r="B63" s="248"/>
      <c r="C63" s="248"/>
      <c r="D63" s="251"/>
      <c r="E63" s="254"/>
      <c r="F63" s="248"/>
      <c r="G63" s="257"/>
      <c r="H63" s="260"/>
      <c r="I63" s="239"/>
      <c r="J63" s="263"/>
      <c r="K63" s="239">
        <f ca="1">IF(NOT(ISERROR(MATCH(J63,_xlfn.ANCHORARRAY(E74),0))),I76&amp;"Por favor no seleccionar los criterios de impacto",J63)</f>
        <v>0</v>
      </c>
      <c r="L63" s="260"/>
      <c r="M63" s="239"/>
      <c r="N63" s="242"/>
      <c r="O63" s="122">
        <v>3</v>
      </c>
      <c r="P63" s="135"/>
      <c r="Q63" s="124" t="str">
        <f>IF(OR(R63="Preventivo",R63="Detectivo"),"Probabilidad",IF(R63="Correctivo","Impacto",""))</f>
        <v/>
      </c>
      <c r="R63" s="125"/>
      <c r="S63" s="125"/>
      <c r="T63" s="126" t="str">
        <f t="shared" si="35"/>
        <v/>
      </c>
      <c r="U63" s="125"/>
      <c r="V63" s="125"/>
      <c r="W63" s="125"/>
      <c r="X63" s="127" t="str">
        <f>IFERROR(IF(AND(Q62="Probabilidad",Q63="Probabilidad"),(Z62-(+Z62*T63)),IF(AND(Q62="Impacto",Q63="Probabilidad"),(Z61-(+Z61*T63)),IF(Q63="Impacto",Z62,""))),"")</f>
        <v/>
      </c>
      <c r="Y63" s="128" t="str">
        <f t="shared" si="1"/>
        <v/>
      </c>
      <c r="Z63" s="129" t="str">
        <f t="shared" si="36"/>
        <v/>
      </c>
      <c r="AA63" s="128" t="str">
        <f t="shared" si="3"/>
        <v/>
      </c>
      <c r="AB63" s="129" t="str">
        <f>IFERROR(IF(AND(Q62="Impacto",Q63="Impacto"),(AB62-(+AB62*T63)),IF(AND(Q62="Probabilidad",Q63="Impacto"),(AB61-(+AB61*T63)),IF(Q63="Probabilidad",AB62,""))),"")</f>
        <v/>
      </c>
      <c r="AC63" s="130" t="str">
        <f t="shared" si="37"/>
        <v/>
      </c>
      <c r="AD63" s="131"/>
      <c r="AE63" s="132"/>
      <c r="AF63" s="132"/>
      <c r="AG63" s="133"/>
      <c r="AH63" s="134"/>
      <c r="AI63" s="134"/>
      <c r="AJ63" s="132"/>
      <c r="AK63" s="133"/>
    </row>
    <row r="64" spans="1:69" ht="151.5" hidden="1" customHeight="1" x14ac:dyDescent="0.3">
      <c r="A64" s="245"/>
      <c r="B64" s="248"/>
      <c r="C64" s="248"/>
      <c r="D64" s="251"/>
      <c r="E64" s="254"/>
      <c r="F64" s="248"/>
      <c r="G64" s="257"/>
      <c r="H64" s="260"/>
      <c r="I64" s="239"/>
      <c r="J64" s="263"/>
      <c r="K64" s="239">
        <f ca="1">IF(NOT(ISERROR(MATCH(J64,_xlfn.ANCHORARRAY(E75),0))),I77&amp;"Por favor no seleccionar los criterios de impacto",J64)</f>
        <v>0</v>
      </c>
      <c r="L64" s="260"/>
      <c r="M64" s="239"/>
      <c r="N64" s="242"/>
      <c r="O64" s="122">
        <v>4</v>
      </c>
      <c r="P64" s="123"/>
      <c r="Q64" s="124" t="str">
        <f t="shared" ref="Q64:Q66" si="38">IF(OR(R64="Preventivo",R64="Detectivo"),"Probabilidad",IF(R64="Correctivo","Impacto",""))</f>
        <v/>
      </c>
      <c r="R64" s="125"/>
      <c r="S64" s="125"/>
      <c r="T64" s="126" t="str">
        <f t="shared" si="35"/>
        <v/>
      </c>
      <c r="U64" s="125"/>
      <c r="V64" s="125"/>
      <c r="W64" s="125"/>
      <c r="X64" s="127" t="str">
        <f t="shared" ref="X64:X66" si="39">IFERROR(IF(AND(Q63="Probabilidad",Q64="Probabilidad"),(Z63-(+Z63*T64)),IF(AND(Q63="Impacto",Q64="Probabilidad"),(Z62-(+Z62*T64)),IF(Q64="Impacto",Z63,""))),"")</f>
        <v/>
      </c>
      <c r="Y64" s="128" t="str">
        <f t="shared" si="1"/>
        <v/>
      </c>
      <c r="Z64" s="129" t="str">
        <f t="shared" si="36"/>
        <v/>
      </c>
      <c r="AA64" s="128" t="str">
        <f t="shared" si="3"/>
        <v/>
      </c>
      <c r="AB64" s="129" t="str">
        <f t="shared" ref="AB64:AB66" si="40">IFERROR(IF(AND(Q63="Impacto",Q64="Impacto"),(AB63-(+AB63*T64)),IF(AND(Q63="Probabilidad",Q64="Impacto"),(AB62-(+AB62*T64)),IF(Q64="Probabilidad",AB63,""))),"")</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row>
    <row r="65" spans="1:37" ht="151.5" hidden="1" customHeight="1" x14ac:dyDescent="0.3">
      <c r="A65" s="245"/>
      <c r="B65" s="248"/>
      <c r="C65" s="248"/>
      <c r="D65" s="251"/>
      <c r="E65" s="254"/>
      <c r="F65" s="248"/>
      <c r="G65" s="257"/>
      <c r="H65" s="260"/>
      <c r="I65" s="239"/>
      <c r="J65" s="263"/>
      <c r="K65" s="239">
        <f ca="1">IF(NOT(ISERROR(MATCH(J65,_xlfn.ANCHORARRAY(E76),0))),I78&amp;"Por favor no seleccionar los criterios de impacto",J65)</f>
        <v>0</v>
      </c>
      <c r="L65" s="260"/>
      <c r="M65" s="239"/>
      <c r="N65" s="242"/>
      <c r="O65" s="122">
        <v>5</v>
      </c>
      <c r="P65" s="123"/>
      <c r="Q65" s="124" t="str">
        <f t="shared" si="38"/>
        <v/>
      </c>
      <c r="R65" s="125"/>
      <c r="S65" s="125"/>
      <c r="T65" s="126" t="str">
        <f t="shared" si="35"/>
        <v/>
      </c>
      <c r="U65" s="125"/>
      <c r="V65" s="125"/>
      <c r="W65" s="125"/>
      <c r="X65" s="127" t="str">
        <f t="shared" si="39"/>
        <v/>
      </c>
      <c r="Y65" s="128" t="str">
        <f t="shared" si="1"/>
        <v/>
      </c>
      <c r="Z65" s="129" t="str">
        <f t="shared" si="36"/>
        <v/>
      </c>
      <c r="AA65" s="128" t="str">
        <f t="shared" si="3"/>
        <v/>
      </c>
      <c r="AB65" s="129" t="str">
        <f t="shared" si="40"/>
        <v/>
      </c>
      <c r="AC65" s="130" t="str">
        <f t="shared" ref="AC65:AC66" si="4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3.9" hidden="1" customHeight="1" x14ac:dyDescent="0.3">
      <c r="A66" s="246"/>
      <c r="B66" s="249"/>
      <c r="C66" s="249"/>
      <c r="D66" s="252"/>
      <c r="E66" s="255"/>
      <c r="F66" s="249"/>
      <c r="G66" s="258"/>
      <c r="H66" s="261"/>
      <c r="I66" s="240"/>
      <c r="J66" s="264"/>
      <c r="K66" s="240">
        <f ca="1">IF(NOT(ISERROR(MATCH(J66,_xlfn.ANCHORARRAY(E77),0))),I79&amp;"Por favor no seleccionar los criterios de impacto",J66)</f>
        <v>0</v>
      </c>
      <c r="L66" s="261"/>
      <c r="M66" s="240"/>
      <c r="N66" s="243"/>
      <c r="O66" s="122">
        <v>6</v>
      </c>
      <c r="P66" s="123"/>
      <c r="Q66" s="124" t="str">
        <f t="shared" si="38"/>
        <v/>
      </c>
      <c r="R66" s="125"/>
      <c r="S66" s="125"/>
      <c r="T66" s="126" t="str">
        <f t="shared" si="35"/>
        <v/>
      </c>
      <c r="U66" s="125"/>
      <c r="V66" s="125"/>
      <c r="W66" s="125"/>
      <c r="X66" s="127" t="str">
        <f t="shared" si="39"/>
        <v/>
      </c>
      <c r="Y66" s="128" t="str">
        <f t="shared" si="1"/>
        <v/>
      </c>
      <c r="Z66" s="129" t="str">
        <f t="shared" si="36"/>
        <v/>
      </c>
      <c r="AA66" s="128" t="str">
        <f t="shared" si="3"/>
        <v/>
      </c>
      <c r="AB66" s="129" t="str">
        <f t="shared" si="40"/>
        <v/>
      </c>
      <c r="AC66" s="130" t="str">
        <f t="shared" si="41"/>
        <v/>
      </c>
      <c r="AD66" s="131"/>
      <c r="AE66" s="132"/>
      <c r="AF66" s="132"/>
      <c r="AG66" s="133"/>
      <c r="AH66" s="134"/>
      <c r="AI66" s="134"/>
      <c r="AJ66" s="132"/>
      <c r="AK66" s="133"/>
    </row>
    <row r="67" spans="1:37" ht="49.5" customHeight="1" x14ac:dyDescent="0.3">
      <c r="A67" s="6"/>
      <c r="B67" s="235" t="s">
        <v>130</v>
      </c>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7"/>
    </row>
    <row r="69" spans="1:37" x14ac:dyDescent="0.3">
      <c r="A69" s="1"/>
      <c r="B69" s="23" t="s">
        <v>142</v>
      </c>
      <c r="C69" s="1"/>
      <c r="D69" s="1"/>
      <c r="F69" s="1"/>
    </row>
  </sheetData>
  <sheetProtection algorithmName="SHA-512" hashValue="qGpUjHAmlhfCyYhhsqXCemoGhG2njDpz4M7hct9hUKjvP7ZR+mI9zRMPwjCiDPDq6yQ8tzjIv0X10ynPq1LCpQ==" saltValue="DsnhXdjblXJNjEL283KNaw==" spinCount="100000" sheet="1" objects="1" scenarios="1" selectLockedCells="1" selectUnlockedCells="1"/>
  <dataConsolidate/>
  <mergeCells count="186">
    <mergeCell ref="AL7:AN7"/>
    <mergeCell ref="AL8:AL9"/>
    <mergeCell ref="AM8:AM9"/>
    <mergeCell ref="AN8:AN9"/>
    <mergeCell ref="P22:P27"/>
    <mergeCell ref="P28:P33"/>
    <mergeCell ref="L10:L15"/>
    <mergeCell ref="M10:M15"/>
    <mergeCell ref="J8:J9"/>
    <mergeCell ref="K8:K9"/>
    <mergeCell ref="N16:N21"/>
    <mergeCell ref="J28:J33"/>
    <mergeCell ref="K28:K33"/>
    <mergeCell ref="L28:L33"/>
    <mergeCell ref="M28:M33"/>
    <mergeCell ref="N28:N33"/>
    <mergeCell ref="K22:K27"/>
    <mergeCell ref="L22:L27"/>
    <mergeCell ref="N8:N9"/>
    <mergeCell ref="J16:J21"/>
    <mergeCell ref="G16:G21"/>
    <mergeCell ref="H16:H21"/>
    <mergeCell ref="I16:I21"/>
    <mergeCell ref="G10:G15"/>
    <mergeCell ref="H10:H15"/>
    <mergeCell ref="Q8:Q9"/>
    <mergeCell ref="R8:W8"/>
    <mergeCell ref="O8:O9"/>
    <mergeCell ref="I10:I15"/>
    <mergeCell ref="J10:J15"/>
    <mergeCell ref="G8:G9"/>
    <mergeCell ref="H8:H9"/>
    <mergeCell ref="I8:I9"/>
    <mergeCell ref="X8:X9"/>
    <mergeCell ref="P8:P9"/>
    <mergeCell ref="N10:N15"/>
    <mergeCell ref="K16:K21"/>
    <mergeCell ref="L16:L21"/>
    <mergeCell ref="M16:M21"/>
    <mergeCell ref="L8:L9"/>
    <mergeCell ref="M8:M9"/>
    <mergeCell ref="K10:K15"/>
    <mergeCell ref="P16:P21"/>
    <mergeCell ref="AK8:AK9"/>
    <mergeCell ref="AJ8:AJ9"/>
    <mergeCell ref="AI8:AI9"/>
    <mergeCell ref="AH8:AH9"/>
    <mergeCell ref="AG8:AG9"/>
    <mergeCell ref="AF8:AF9"/>
    <mergeCell ref="Y8:Y9"/>
    <mergeCell ref="Z8:Z9"/>
    <mergeCell ref="AA8:AA9"/>
    <mergeCell ref="AD8:AD9"/>
    <mergeCell ref="AC8:AC9"/>
    <mergeCell ref="AB8:AB9"/>
    <mergeCell ref="AE8:AE9"/>
    <mergeCell ref="A8:A9"/>
    <mergeCell ref="F8:F9"/>
    <mergeCell ref="E8:E9"/>
    <mergeCell ref="D8:D9"/>
    <mergeCell ref="C8:C9"/>
    <mergeCell ref="B8:B9"/>
    <mergeCell ref="A16:A21"/>
    <mergeCell ref="B16:B21"/>
    <mergeCell ref="C16:C21"/>
    <mergeCell ref="D16:D21"/>
    <mergeCell ref="E16:E21"/>
    <mergeCell ref="F16:F21"/>
    <mergeCell ref="F10:F15"/>
    <mergeCell ref="A10:A15"/>
    <mergeCell ref="B10:B15"/>
    <mergeCell ref="C10:C15"/>
    <mergeCell ref="D10:D15"/>
    <mergeCell ref="E10:E15"/>
    <mergeCell ref="A28:A33"/>
    <mergeCell ref="B28:B33"/>
    <mergeCell ref="C28:C33"/>
    <mergeCell ref="D28:D33"/>
    <mergeCell ref="E28:E33"/>
    <mergeCell ref="F28:F33"/>
    <mergeCell ref="G28:G33"/>
    <mergeCell ref="F22:F27"/>
    <mergeCell ref="G22:G27"/>
    <mergeCell ref="A22:A27"/>
    <mergeCell ref="B22:B27"/>
    <mergeCell ref="C22:C27"/>
    <mergeCell ref="D22:D27"/>
    <mergeCell ref="E22:E27"/>
    <mergeCell ref="H28:H33"/>
    <mergeCell ref="I28:I33"/>
    <mergeCell ref="M22:M27"/>
    <mergeCell ref="N22:N27"/>
    <mergeCell ref="M34:M36"/>
    <mergeCell ref="N34:N36"/>
    <mergeCell ref="M37:M42"/>
    <mergeCell ref="N37:N42"/>
    <mergeCell ref="I37:I42"/>
    <mergeCell ref="K34:K36"/>
    <mergeCell ref="L34:L36"/>
    <mergeCell ref="H22:H27"/>
    <mergeCell ref="I22:I27"/>
    <mergeCell ref="J37:J42"/>
    <mergeCell ref="K37:K42"/>
    <mergeCell ref="L37:L42"/>
    <mergeCell ref="J22:J27"/>
    <mergeCell ref="F34:F36"/>
    <mergeCell ref="G34:G36"/>
    <mergeCell ref="H34:H36"/>
    <mergeCell ref="I34:I36"/>
    <mergeCell ref="J34:J36"/>
    <mergeCell ref="G37:G42"/>
    <mergeCell ref="H37:H42"/>
    <mergeCell ref="A34:A36"/>
    <mergeCell ref="B34:B36"/>
    <mergeCell ref="C34:C36"/>
    <mergeCell ref="A37:A42"/>
    <mergeCell ref="B37:B42"/>
    <mergeCell ref="C37:C42"/>
    <mergeCell ref="D37:D42"/>
    <mergeCell ref="E37:E42"/>
    <mergeCell ref="F37:F42"/>
    <mergeCell ref="D34:D36"/>
    <mergeCell ref="E34:E36"/>
    <mergeCell ref="A49:A54"/>
    <mergeCell ref="B49:B54"/>
    <mergeCell ref="A43:A48"/>
    <mergeCell ref="B43:B48"/>
    <mergeCell ref="E55:E60"/>
    <mergeCell ref="F55:F60"/>
    <mergeCell ref="G55:G60"/>
    <mergeCell ref="H55:H60"/>
    <mergeCell ref="I55:I60"/>
    <mergeCell ref="M43:M48"/>
    <mergeCell ref="N43:N48"/>
    <mergeCell ref="G49:G54"/>
    <mergeCell ref="H49:H54"/>
    <mergeCell ref="I49:I54"/>
    <mergeCell ref="J49:J54"/>
    <mergeCell ref="G43:G48"/>
    <mergeCell ref="H43:H48"/>
    <mergeCell ref="I43:I48"/>
    <mergeCell ref="K49:K54"/>
    <mergeCell ref="L49:L54"/>
    <mergeCell ref="M49:M54"/>
    <mergeCell ref="N49:N54"/>
    <mergeCell ref="J43:J48"/>
    <mergeCell ref="K43:K48"/>
    <mergeCell ref="L43:L48"/>
    <mergeCell ref="B67:AK67"/>
    <mergeCell ref="M55:M60"/>
    <mergeCell ref="N55:N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J55:J60"/>
    <mergeCell ref="K55:K60"/>
    <mergeCell ref="L55:L60"/>
    <mergeCell ref="A55:A60"/>
    <mergeCell ref="B55:B60"/>
    <mergeCell ref="C55:C60"/>
    <mergeCell ref="D55:D60"/>
    <mergeCell ref="A1:D2"/>
    <mergeCell ref="E1:AK2"/>
    <mergeCell ref="C4:N4"/>
    <mergeCell ref="O4:Q4"/>
    <mergeCell ref="A7:G7"/>
    <mergeCell ref="H7:N7"/>
    <mergeCell ref="O7:W7"/>
    <mergeCell ref="X7:AD7"/>
    <mergeCell ref="AE7:AK7"/>
    <mergeCell ref="A4:B4"/>
    <mergeCell ref="A5:B5"/>
    <mergeCell ref="A6:B6"/>
    <mergeCell ref="C5:P5"/>
    <mergeCell ref="C6:P6"/>
  </mergeCells>
  <conditionalFormatting sqref="H10 Y10:Y66">
    <cfRule type="cellIs" dxfId="100" priority="333" operator="equal">
      <formula>"Muy Baja"</formula>
    </cfRule>
    <cfRule type="cellIs" dxfId="99" priority="332" operator="equal">
      <formula>"Baja"</formula>
    </cfRule>
    <cfRule type="cellIs" dxfId="98" priority="331" operator="equal">
      <formula>"Media"</formula>
    </cfRule>
    <cfRule type="cellIs" dxfId="97" priority="330" operator="equal">
      <formula>"Alta"</formula>
    </cfRule>
    <cfRule type="cellIs" dxfId="96" priority="329" operator="equal">
      <formula>"Muy Alta"</formula>
    </cfRule>
  </conditionalFormatting>
  <conditionalFormatting sqref="H22">
    <cfRule type="cellIs" dxfId="95" priority="231" operator="equal">
      <formula>"Muy Alta"</formula>
    </cfRule>
    <cfRule type="cellIs" dxfId="94" priority="235" operator="equal">
      <formula>"Muy Baja"</formula>
    </cfRule>
    <cfRule type="cellIs" dxfId="93" priority="234" operator="equal">
      <formula>"Baja"</formula>
    </cfRule>
    <cfRule type="cellIs" dxfId="92" priority="233" operator="equal">
      <formula>"Media"</formula>
    </cfRule>
    <cfRule type="cellIs" dxfId="91" priority="232" operator="equal">
      <formula>"Alta"</formula>
    </cfRule>
  </conditionalFormatting>
  <conditionalFormatting sqref="H28">
    <cfRule type="cellIs" dxfId="90" priority="207" operator="equal">
      <formula>"Muy Baja"</formula>
    </cfRule>
    <cfRule type="cellIs" dxfId="89" priority="206" operator="equal">
      <formula>"Baja"</formula>
    </cfRule>
    <cfRule type="cellIs" dxfId="88" priority="205" operator="equal">
      <formula>"Media"</formula>
    </cfRule>
    <cfRule type="cellIs" dxfId="87" priority="204" operator="equal">
      <formula>"Alta"</formula>
    </cfRule>
    <cfRule type="cellIs" dxfId="86" priority="203" operator="equal">
      <formula>"Muy Alta"</formula>
    </cfRule>
  </conditionalFormatting>
  <conditionalFormatting sqref="H34">
    <cfRule type="cellIs" dxfId="85" priority="179" operator="equal">
      <formula>"Muy Baja"</formula>
    </cfRule>
    <cfRule type="cellIs" dxfId="84" priority="178" operator="equal">
      <formula>"Baja"</formula>
    </cfRule>
    <cfRule type="cellIs" dxfId="83" priority="177" operator="equal">
      <formula>"Media"</formula>
    </cfRule>
    <cfRule type="cellIs" dxfId="82" priority="176" operator="equal">
      <formula>"Alta"</formula>
    </cfRule>
    <cfRule type="cellIs" dxfId="81" priority="175" operator="equal">
      <formula>"Muy Alta"</formula>
    </cfRule>
  </conditionalFormatting>
  <conditionalFormatting sqref="H37">
    <cfRule type="cellIs" dxfId="80" priority="147" operator="equal">
      <formula>"Muy Alta"</formula>
    </cfRule>
    <cfRule type="cellIs" dxfId="79" priority="148" operator="equal">
      <formula>"Alta"</formula>
    </cfRule>
    <cfRule type="cellIs" dxfId="78" priority="151" operator="equal">
      <formula>"Muy Baja"</formula>
    </cfRule>
    <cfRule type="cellIs" dxfId="77" priority="149" operator="equal">
      <formula>"Media"</formula>
    </cfRule>
    <cfRule type="cellIs" dxfId="76" priority="150" operator="equal">
      <formula>"Baja"</formula>
    </cfRule>
  </conditionalFormatting>
  <conditionalFormatting sqref="H43">
    <cfRule type="cellIs" dxfId="75" priority="121" operator="equal">
      <formula>"Media"</formula>
    </cfRule>
    <cfRule type="cellIs" dxfId="74" priority="119" operator="equal">
      <formula>"Muy Alta"</formula>
    </cfRule>
    <cfRule type="cellIs" dxfId="73" priority="120" operator="equal">
      <formula>"Alta"</formula>
    </cfRule>
    <cfRule type="cellIs" dxfId="72" priority="122" operator="equal">
      <formula>"Baja"</formula>
    </cfRule>
    <cfRule type="cellIs" dxfId="71" priority="123" operator="equal">
      <formula>"Muy Baja"</formula>
    </cfRule>
  </conditionalFormatting>
  <conditionalFormatting sqref="H49">
    <cfRule type="cellIs" dxfId="70" priority="91" operator="equal">
      <formula>"Muy Alta"</formula>
    </cfRule>
    <cfRule type="cellIs" dxfId="69" priority="92" operator="equal">
      <formula>"Alta"</formula>
    </cfRule>
    <cfRule type="cellIs" dxfId="68" priority="93" operator="equal">
      <formula>"Media"</formula>
    </cfRule>
    <cfRule type="cellIs" dxfId="67" priority="94" operator="equal">
      <formula>"Baja"</formula>
    </cfRule>
    <cfRule type="cellIs" dxfId="66" priority="95" operator="equal">
      <formula>"Muy Baja"</formula>
    </cfRule>
  </conditionalFormatting>
  <conditionalFormatting sqref="H55">
    <cfRule type="cellIs" dxfId="65" priority="64" operator="equal">
      <formula>"Alta"</formula>
    </cfRule>
    <cfRule type="cellIs" dxfId="64" priority="63" operator="equal">
      <formula>"Muy Alta"</formula>
    </cfRule>
    <cfRule type="cellIs" dxfId="63" priority="65" operator="equal">
      <formula>"Media"</formula>
    </cfRule>
    <cfRule type="cellIs" dxfId="62" priority="66" operator="equal">
      <formula>"Baja"</formula>
    </cfRule>
    <cfRule type="cellIs" dxfId="61" priority="67" operator="equal">
      <formula>"Muy Baja"</formula>
    </cfRule>
  </conditionalFormatting>
  <conditionalFormatting sqref="H61">
    <cfRule type="cellIs" dxfId="60" priority="35" operator="equal">
      <formula>"Muy Alta"</formula>
    </cfRule>
    <cfRule type="cellIs" dxfId="59" priority="36" operator="equal">
      <formula>"Alta"</formula>
    </cfRule>
    <cfRule type="cellIs" dxfId="58" priority="37" operator="equal">
      <formula>"Media"</formula>
    </cfRule>
    <cfRule type="cellIs" dxfId="57" priority="38" operator="equal">
      <formula>"Baja"</formula>
    </cfRule>
    <cfRule type="cellIs" dxfId="56" priority="39" operator="equal">
      <formula>"Muy Baja"</formula>
    </cfRule>
  </conditionalFormatting>
  <conditionalFormatting sqref="K10:K66">
    <cfRule type="containsText" dxfId="55" priority="11" operator="containsText" text="❌">
      <formula>NOT(ISERROR(SEARCH("❌",K10)))</formula>
    </cfRule>
  </conditionalFormatting>
  <conditionalFormatting sqref="L10 L22 L28 L34 L37 L43 L49 L55 L61 AA10:AA66 L16">
    <cfRule type="cellIs" dxfId="54" priority="327" operator="equal">
      <formula>"Menor"</formula>
    </cfRule>
    <cfRule type="cellIs" dxfId="53" priority="325" operator="equal">
      <formula>"Mayor"</formula>
    </cfRule>
    <cfRule type="cellIs" dxfId="52" priority="324" operator="equal">
      <formula>"Catastrófico"</formula>
    </cfRule>
    <cfRule type="cellIs" dxfId="51" priority="326" operator="equal">
      <formula>"Moderado"</formula>
    </cfRule>
    <cfRule type="cellIs" dxfId="50" priority="328" operator="equal">
      <formula>"Leve"</formula>
    </cfRule>
  </conditionalFormatting>
  <conditionalFormatting sqref="N10 AC10:AC66">
    <cfRule type="cellIs" dxfId="49" priority="323" operator="equal">
      <formula>"Bajo"</formula>
    </cfRule>
    <cfRule type="cellIs" dxfId="48" priority="322" operator="equal">
      <formula>"Moderado"</formula>
    </cfRule>
    <cfRule type="cellIs" dxfId="47" priority="320" operator="equal">
      <formula>"Extremo"</formula>
    </cfRule>
    <cfRule type="cellIs" dxfId="46" priority="321" operator="equal">
      <formula>"Alto"</formula>
    </cfRule>
  </conditionalFormatting>
  <conditionalFormatting sqref="N22">
    <cfRule type="cellIs" dxfId="45" priority="222" operator="equal">
      <formula>"Extremo"</formula>
    </cfRule>
    <cfRule type="cellIs" dxfId="44" priority="223" operator="equal">
      <formula>"Alto"</formula>
    </cfRule>
    <cfRule type="cellIs" dxfId="43" priority="224" operator="equal">
      <formula>"Moderado"</formula>
    </cfRule>
    <cfRule type="cellIs" dxfId="42" priority="225" operator="equal">
      <formula>"Bajo"</formula>
    </cfRule>
  </conditionalFormatting>
  <conditionalFormatting sqref="N28">
    <cfRule type="cellIs" dxfId="41" priority="196" operator="equal">
      <formula>"Moderado"</formula>
    </cfRule>
    <cfRule type="cellIs" dxfId="40" priority="195" operator="equal">
      <formula>"Alto"</formula>
    </cfRule>
    <cfRule type="cellIs" dxfId="39" priority="194" operator="equal">
      <formula>"Extremo"</formula>
    </cfRule>
    <cfRule type="cellIs" dxfId="38" priority="197" operator="equal">
      <formula>"Bajo"</formula>
    </cfRule>
  </conditionalFormatting>
  <conditionalFormatting sqref="N34">
    <cfRule type="cellIs" dxfId="37" priority="166" operator="equal">
      <formula>"Extremo"</formula>
    </cfRule>
    <cfRule type="cellIs" dxfId="36" priority="167" operator="equal">
      <formula>"Alto"</formula>
    </cfRule>
    <cfRule type="cellIs" dxfId="35" priority="169" operator="equal">
      <formula>"Bajo"</formula>
    </cfRule>
    <cfRule type="cellIs" dxfId="34" priority="168" operator="equal">
      <formula>"Moderado"</formula>
    </cfRule>
  </conditionalFormatting>
  <conditionalFormatting sqref="N37">
    <cfRule type="cellIs" dxfId="33" priority="139" operator="equal">
      <formula>"Alto"</formula>
    </cfRule>
    <cfRule type="cellIs" dxfId="32" priority="138" operator="equal">
      <formula>"Extremo"</formula>
    </cfRule>
    <cfRule type="cellIs" dxfId="31" priority="140" operator="equal">
      <formula>"Moderado"</formula>
    </cfRule>
    <cfRule type="cellIs" dxfId="30" priority="141" operator="equal">
      <formula>"Bajo"</formula>
    </cfRule>
  </conditionalFormatting>
  <conditionalFormatting sqref="N43">
    <cfRule type="cellIs" dxfId="29" priority="111" operator="equal">
      <formula>"Alto"</formula>
    </cfRule>
    <cfRule type="cellIs" dxfId="28" priority="113" operator="equal">
      <formula>"Bajo"</formula>
    </cfRule>
    <cfRule type="cellIs" dxfId="27" priority="110" operator="equal">
      <formula>"Extremo"</formula>
    </cfRule>
    <cfRule type="cellIs" dxfId="26" priority="112" operator="equal">
      <formula>"Moderado"</formula>
    </cfRule>
  </conditionalFormatting>
  <conditionalFormatting sqref="N49">
    <cfRule type="cellIs" dxfId="25" priority="84" operator="equal">
      <formula>"Moderado"</formula>
    </cfRule>
    <cfRule type="cellIs" dxfId="24" priority="85" operator="equal">
      <formula>"Bajo"</formula>
    </cfRule>
    <cfRule type="cellIs" dxfId="23" priority="83" operator="equal">
      <formula>"Alto"</formula>
    </cfRule>
    <cfRule type="cellIs" dxfId="22" priority="82" operator="equal">
      <formula>"Extremo"</formula>
    </cfRule>
  </conditionalFormatting>
  <conditionalFormatting sqref="N55">
    <cfRule type="cellIs" dxfId="21" priority="54" operator="equal">
      <formula>"Extremo"</formula>
    </cfRule>
    <cfRule type="cellIs" dxfId="20" priority="56" operator="equal">
      <formula>"Moderado"</formula>
    </cfRule>
    <cfRule type="cellIs" dxfId="19" priority="57" operator="equal">
      <formula>"Bajo"</formula>
    </cfRule>
    <cfRule type="cellIs" dxfId="18" priority="55" operator="equal">
      <formula>"Alto"</formula>
    </cfRule>
  </conditionalFormatting>
  <conditionalFormatting sqref="N61">
    <cfRule type="cellIs" dxfId="17" priority="27" operator="equal">
      <formula>"Alto"</formula>
    </cfRule>
    <cfRule type="cellIs" dxfId="16" priority="28" operator="equal">
      <formula>"Moderado"</formula>
    </cfRule>
    <cfRule type="cellIs" dxfId="15" priority="29" operator="equal">
      <formula>"Bajo"</formula>
    </cfRule>
    <cfRule type="cellIs" dxfId="14" priority="26" operator="equal">
      <formula>"Extremo"</formula>
    </cfRule>
  </conditionalFormatting>
  <conditionalFormatting sqref="H16">
    <cfRule type="cellIs" dxfId="13" priority="6" operator="equal">
      <formula>"Muy Alta"</formula>
    </cfRule>
    <cfRule type="cellIs" dxfId="12" priority="7" operator="equal">
      <formula>"Alta"</formula>
    </cfRule>
    <cfRule type="cellIs" dxfId="11" priority="8" operator="equal">
      <formula>"Media"</formula>
    </cfRule>
    <cfRule type="cellIs" dxfId="10" priority="9" operator="equal">
      <formula>"Baja"</formula>
    </cfRule>
    <cfRule type="cellIs" dxfId="9" priority="10" operator="equal">
      <formula>"Muy Baja"</formula>
    </cfRule>
  </conditionalFormatting>
  <conditionalFormatting sqref="N16">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P16:P34">
    <cfRule type="containsText" dxfId="4" priority="1" operator="containsText" text="❌">
      <formula>NOT(ISERROR(SEARCH("❌",P16)))</formula>
    </cfRule>
  </conditionalFormatting>
  <dataValidations count="2">
    <dataValidation showInputMessage="1" showErrorMessage="1" error="Recuerde que las acciones se generan bajo la medida de mitigar el riesgo" sqref="AG10:AG18 AG22:AG39"/>
    <dataValidation allowBlank="1" showInputMessage="1" showErrorMessage="1" error="Recuerde que las acciones se generan bajo la medida de mitigar el riesgo" sqref="AH34:AI34 AH43:AI55 AJ10 AE22:AE28 AH37:AI39 AH10:AI18 AE10:AE15 AH22:AI30"/>
  </dataValidations>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'Opciones Tratamiento'!$B$9:$B$10</xm:f>
          </x14:formula1>
          <xm:sqref>AK10:AK11 AK13:AK14 AK16:AK17 AK19:AK20 AK22:AK23 AK25:AK26 AK28:AK29 AK31:AK32 AK37:AK38 AK40:AK41 AK43:AK44 AK46:AK47 AK49:AK50 AK52:AK53 AK55:AK56 AK58:AK59 AK61:AK62 AK64:AK65 AK34:AK35</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AG40:AG66 AG19:AG21</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AH31:AH33 AH35:AH36 AH40:AH42 AH56:AH66 AH19:AH21</xm:sqref>
        </x14:dataValidation>
        <x14:dataValidation type="custom" allowBlank="1" showInputMessage="1" showErrorMessage="1" error="Recuerde que las acciones se generan bajo la medida de mitigar el riesgo">
          <x14:formula1>
            <xm:f>IF(OR(AD19='Opciones Tratamiento'!$B$2,AD19='Opciones Tratamiento'!$B$3,AD19='Opciones Tratamiento'!$B$4),ISBLANK(AD19),ISTEXT(AD19))</xm:f>
          </x14:formula1>
          <xm:sqref>AI56:AI66 AI40:AI42 AI31:AI33 AI35:AI36 AI19:AI21</xm:sqref>
        </x14:dataValidation>
        <x14:dataValidation type="list" allowBlank="1" showInputMessage="1" showErrorMessage="1">
          <x14:formula1>
            <xm:f>'Tabla Valoración controles'!$D$4:$D$6</xm:f>
          </x14:formula1>
          <xm:sqref>R10:R66</xm:sqref>
        </x14:dataValidation>
        <x14:dataValidation type="list" allowBlank="1" showInputMessage="1" showErrorMessage="1">
          <x14:formula1>
            <xm:f>'Tabla Valoración controles'!$D$7:$D$8</xm:f>
          </x14:formula1>
          <xm:sqref>S10:S66</xm:sqref>
        </x14:dataValidation>
        <x14:dataValidation type="list" allowBlank="1" showInputMessage="1" showErrorMessage="1">
          <x14:formula1>
            <xm:f>'Tabla Valoración controles'!$D$9:$D$10</xm:f>
          </x14:formula1>
          <xm:sqref>U10:U66</xm:sqref>
        </x14:dataValidation>
        <x14:dataValidation type="list" allowBlank="1" showInputMessage="1" showErrorMessage="1">
          <x14:formula1>
            <xm:f>'Tabla Valoración controles'!$D$11:$D$12</xm:f>
          </x14:formula1>
          <xm:sqref>V10:V66</xm:sqref>
        </x14:dataValidation>
        <x14:dataValidation type="list" allowBlank="1" showInputMessage="1" showErrorMessage="1">
          <x14:formula1>
            <xm:f>'Tabla Valoración controles'!$D$13:$D$14</xm:f>
          </x14:formula1>
          <xm:sqref>W10:W66</xm:sqref>
        </x14:dataValidation>
        <x14:dataValidation type="list" allowBlank="1" showInputMessage="1" showErrorMessage="1">
          <x14:formula1>
            <xm:f>'Opciones Tratamiento'!$B$13:$B$19</xm:f>
          </x14:formula1>
          <xm:sqref>F10:F66</xm:sqref>
        </x14:dataValidation>
        <x14:dataValidation type="list" allowBlank="1" showInputMessage="1" showErrorMessage="1">
          <x14:formula1>
            <xm:f>'Opciones Tratamiento'!$E$2:$E$4</xm:f>
          </x14:formula1>
          <xm:sqref>B10:B66</xm:sqref>
        </x14:dataValidation>
        <x14:dataValidation type="list" allowBlank="1" showInputMessage="1" showErrorMessage="1">
          <x14:formula1>
            <xm:f>'Opciones Tratamiento'!$B$2:$B$5</xm:f>
          </x14:formula1>
          <xm:sqref>AD10:AD66</xm:sqref>
        </x14:dataValidation>
        <x14:dataValidation type="list" allowBlank="1" showInputMessage="1" showErrorMessage="1">
          <x14:formula1>
            <xm:f>'Tabla Impacto'!$F$210:$F$221</xm:f>
          </x14:formula1>
          <xm:sqref>J10:J66</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AE29:AE34 AE35:AF66 AF10:AF15 AF22:AF34 AE16:AF21</xm:sqref>
        </x14:dataValidation>
        <x14:dataValidation type="custom" allowBlank="1" showInputMessage="1" showErrorMessage="1" error="Recuerde que las acciones se generan bajo la medida de mitigar el riesgo">
          <x14:formula1>
            <xm:f>IF(OR(AD11='Opciones Tratamiento'!$B$2,AD11='Opciones Tratamiento'!$B$3,AD11='Opciones Tratamiento'!$B$4),ISBLANK(AD11),ISTEXT(AD11))</xm:f>
          </x14:formula1>
          <xm:sqref>AJ11:AJ66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80" t="s">
        <v>159</v>
      </c>
      <c r="C2" s="380"/>
      <c r="D2" s="380"/>
      <c r="E2" s="380"/>
      <c r="F2" s="380"/>
      <c r="G2" s="380"/>
      <c r="H2" s="380"/>
      <c r="I2" s="380"/>
      <c r="J2" s="348" t="s">
        <v>2</v>
      </c>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80"/>
      <c r="C3" s="380"/>
      <c r="D3" s="380"/>
      <c r="E3" s="380"/>
      <c r="F3" s="380"/>
      <c r="G3" s="380"/>
      <c r="H3" s="380"/>
      <c r="I3" s="380"/>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80"/>
      <c r="C4" s="380"/>
      <c r="D4" s="380"/>
      <c r="E4" s="380"/>
      <c r="F4" s="380"/>
      <c r="G4" s="380"/>
      <c r="H4" s="380"/>
      <c r="I4" s="380"/>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95" t="s">
        <v>4</v>
      </c>
      <c r="C6" s="295"/>
      <c r="D6" s="296"/>
      <c r="E6" s="333" t="s">
        <v>115</v>
      </c>
      <c r="F6" s="334"/>
      <c r="G6" s="334"/>
      <c r="H6" s="334"/>
      <c r="I6" s="335"/>
      <c r="J6" s="344" t="str">
        <f ca="1">IF(AND('Mapa final'!$H$10="Muy Alta",'Mapa final'!$L$10="Leve"),CONCATENATE("R",'Mapa final'!$A$10),"")</f>
        <v/>
      </c>
      <c r="K6" s="345"/>
      <c r="L6" s="345" t="str">
        <f ca="1">IF(AND('Mapa final'!$H$16="Muy Alta",'Mapa final'!$L$16="Leve"),CONCATENATE("R",'Mapa final'!$A$16),"")</f>
        <v/>
      </c>
      <c r="M6" s="345"/>
      <c r="N6" s="345" t="str">
        <f ca="1">IF(AND('Mapa final'!$H$22="Muy Alta",'Mapa final'!$L$22="Leve"),CONCATENATE("R",'Mapa final'!$A$22),"")</f>
        <v/>
      </c>
      <c r="O6" s="347"/>
      <c r="P6" s="344" t="str">
        <f ca="1">IF(AND('Mapa final'!$H$10="Muy Alta",'Mapa final'!$L$10="Menor"),CONCATENATE("R",'Mapa final'!$A$10),"")</f>
        <v/>
      </c>
      <c r="Q6" s="345"/>
      <c r="R6" s="345" t="str">
        <f ca="1">IF(AND('Mapa final'!$H$16="Muy Alta",'Mapa final'!$L$16="Menor"),CONCATENATE("R",'Mapa final'!$A$16),"")</f>
        <v/>
      </c>
      <c r="S6" s="345"/>
      <c r="T6" s="345" t="str">
        <f ca="1">IF(AND('Mapa final'!$H$22="Muy Alta",'Mapa final'!$L$22="Menor"),CONCATENATE("R",'Mapa final'!$A$22),"")</f>
        <v/>
      </c>
      <c r="U6" s="347"/>
      <c r="V6" s="344" t="str">
        <f ca="1">IF(AND('Mapa final'!$H$10="Muy Alta",'Mapa final'!$L$10="Moderado"),CONCATENATE("R",'Mapa final'!$A$10),"")</f>
        <v/>
      </c>
      <c r="W6" s="345"/>
      <c r="X6" s="345" t="str">
        <f ca="1">IF(AND('Mapa final'!$H$16="Muy Alta",'Mapa final'!$L$16="Moderado"),CONCATENATE("R",'Mapa final'!$A$16),"")</f>
        <v/>
      </c>
      <c r="Y6" s="345"/>
      <c r="Z6" s="345" t="str">
        <f ca="1">IF(AND('Mapa final'!$H$22="Muy Alta",'Mapa final'!$L$22="Moderado"),CONCATENATE("R",'Mapa final'!$A$22),"")</f>
        <v/>
      </c>
      <c r="AA6" s="347"/>
      <c r="AB6" s="344" t="str">
        <f ca="1">IF(AND('Mapa final'!$H$10="Muy Alta",'Mapa final'!$L$10="Mayor"),CONCATENATE("R",'Mapa final'!$A$10),"")</f>
        <v/>
      </c>
      <c r="AC6" s="345"/>
      <c r="AD6" s="345" t="str">
        <f ca="1">IF(AND('Mapa final'!$H$16="Muy Alta",'Mapa final'!$L$16="Mayor"),CONCATENATE("R",'Mapa final'!$A$16),"")</f>
        <v/>
      </c>
      <c r="AE6" s="345"/>
      <c r="AF6" s="345" t="str">
        <f ca="1">IF(AND('Mapa final'!$H$22="Muy Alta",'Mapa final'!$L$22="Mayor"),CONCATENATE("R",'Mapa final'!$A$22),"")</f>
        <v/>
      </c>
      <c r="AG6" s="347"/>
      <c r="AH6" s="359" t="str">
        <f ca="1">IF(AND('Mapa final'!$H$10="Muy Alta",'Mapa final'!$L$10="Catastrófico"),CONCATENATE("R",'Mapa final'!$A$10),"")</f>
        <v/>
      </c>
      <c r="AI6" s="360"/>
      <c r="AJ6" s="360" t="str">
        <f ca="1">IF(AND('Mapa final'!$H$16="Muy Alta",'Mapa final'!$L$16="Catastrófico"),CONCATENATE("R",'Mapa final'!$A$16),"")</f>
        <v/>
      </c>
      <c r="AK6" s="360"/>
      <c r="AL6" s="360" t="str">
        <f ca="1">IF(AND('Mapa final'!$H$22="Muy Alta",'Mapa final'!$L$22="Catastrófico"),CONCATENATE("R",'Mapa final'!$A$22),"")</f>
        <v/>
      </c>
      <c r="AM6" s="361"/>
      <c r="AO6" s="297" t="s">
        <v>78</v>
      </c>
      <c r="AP6" s="298"/>
      <c r="AQ6" s="298"/>
      <c r="AR6" s="298"/>
      <c r="AS6" s="298"/>
      <c r="AT6" s="29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95"/>
      <c r="C7" s="295"/>
      <c r="D7" s="296"/>
      <c r="E7" s="336"/>
      <c r="F7" s="337"/>
      <c r="G7" s="337"/>
      <c r="H7" s="337"/>
      <c r="I7" s="338"/>
      <c r="J7" s="346"/>
      <c r="K7" s="342"/>
      <c r="L7" s="342"/>
      <c r="M7" s="342"/>
      <c r="N7" s="342"/>
      <c r="O7" s="343"/>
      <c r="P7" s="346"/>
      <c r="Q7" s="342"/>
      <c r="R7" s="342"/>
      <c r="S7" s="342"/>
      <c r="T7" s="342"/>
      <c r="U7" s="343"/>
      <c r="V7" s="346"/>
      <c r="W7" s="342"/>
      <c r="X7" s="342"/>
      <c r="Y7" s="342"/>
      <c r="Z7" s="342"/>
      <c r="AA7" s="343"/>
      <c r="AB7" s="346"/>
      <c r="AC7" s="342"/>
      <c r="AD7" s="342"/>
      <c r="AE7" s="342"/>
      <c r="AF7" s="342"/>
      <c r="AG7" s="343"/>
      <c r="AH7" s="353"/>
      <c r="AI7" s="354"/>
      <c r="AJ7" s="354"/>
      <c r="AK7" s="354"/>
      <c r="AL7" s="354"/>
      <c r="AM7" s="355"/>
      <c r="AN7" s="82"/>
      <c r="AO7" s="300"/>
      <c r="AP7" s="301"/>
      <c r="AQ7" s="301"/>
      <c r="AR7" s="301"/>
      <c r="AS7" s="301"/>
      <c r="AT7" s="30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95"/>
      <c r="C8" s="295"/>
      <c r="D8" s="296"/>
      <c r="E8" s="336"/>
      <c r="F8" s="337"/>
      <c r="G8" s="337"/>
      <c r="H8" s="337"/>
      <c r="I8" s="338"/>
      <c r="J8" s="346" t="str">
        <f ca="1">IF(AND('Mapa final'!$H$28="Muy Alta",'Mapa final'!$L$28="Leve"),CONCATENATE("R",'Mapa final'!$A$28),"")</f>
        <v/>
      </c>
      <c r="K8" s="342"/>
      <c r="L8" s="342" t="str">
        <f ca="1">IF(AND('Mapa final'!$H$34="Muy Alta",'Mapa final'!$L$34="Leve"),CONCATENATE("R",'Mapa final'!$A$34),"")</f>
        <v/>
      </c>
      <c r="M8" s="342"/>
      <c r="N8" s="342" t="str">
        <f>IF(AND('Mapa final'!$H$37="Muy Alta",'Mapa final'!$L$37="Leve"),CONCATENATE("R",'Mapa final'!$A$37),"")</f>
        <v/>
      </c>
      <c r="O8" s="343"/>
      <c r="P8" s="346" t="str">
        <f ca="1">IF(AND('Mapa final'!$H$28="Muy Alta",'Mapa final'!$L$28="Menor"),CONCATENATE("R",'Mapa final'!$A$28),"")</f>
        <v/>
      </c>
      <c r="Q8" s="342"/>
      <c r="R8" s="342" t="str">
        <f ca="1">IF(AND('Mapa final'!$H$34="Muy Alta",'Mapa final'!$L$34="Menor"),CONCATENATE("R",'Mapa final'!$A$34),"")</f>
        <v/>
      </c>
      <c r="S8" s="342"/>
      <c r="T8" s="342" t="str">
        <f>IF(AND('Mapa final'!$H$37="Muy Alta",'Mapa final'!$L$37="Menor"),CONCATENATE("R",'Mapa final'!$A$37),"")</f>
        <v/>
      </c>
      <c r="U8" s="343"/>
      <c r="V8" s="346" t="str">
        <f ca="1">IF(AND('Mapa final'!$H$28="Muy Alta",'Mapa final'!$L$28="Moderado"),CONCATENATE("R",'Mapa final'!$A$28),"")</f>
        <v/>
      </c>
      <c r="W8" s="342"/>
      <c r="X8" s="342" t="str">
        <f ca="1">IF(AND('Mapa final'!$H$34="Muy Alta",'Mapa final'!$L$34="Moderado"),CONCATENATE("R",'Mapa final'!$A$34),"")</f>
        <v/>
      </c>
      <c r="Y8" s="342"/>
      <c r="Z8" s="342" t="str">
        <f>IF(AND('Mapa final'!$H$37="Muy Alta",'Mapa final'!$L$37="Moderado"),CONCATENATE("R",'Mapa final'!$A$37),"")</f>
        <v/>
      </c>
      <c r="AA8" s="343"/>
      <c r="AB8" s="346" t="str">
        <f ca="1">IF(AND('Mapa final'!$H$28="Muy Alta",'Mapa final'!$L$28="Mayor"),CONCATENATE("R",'Mapa final'!$A$28),"")</f>
        <v/>
      </c>
      <c r="AC8" s="342"/>
      <c r="AD8" s="342" t="str">
        <f ca="1">IF(AND('Mapa final'!$H$34="Muy Alta",'Mapa final'!$L$34="Mayor"),CONCATENATE("R",'Mapa final'!$A$34),"")</f>
        <v/>
      </c>
      <c r="AE8" s="342"/>
      <c r="AF8" s="342" t="str">
        <f>IF(AND('Mapa final'!$H$37="Muy Alta",'Mapa final'!$L$37="Mayor"),CONCATENATE("R",'Mapa final'!$A$37),"")</f>
        <v/>
      </c>
      <c r="AG8" s="343"/>
      <c r="AH8" s="353" t="str">
        <f ca="1">IF(AND('Mapa final'!$H$28="Muy Alta",'Mapa final'!$L$28="Catastrófico"),CONCATENATE("R",'Mapa final'!$A$28),"")</f>
        <v/>
      </c>
      <c r="AI8" s="354"/>
      <c r="AJ8" s="354" t="str">
        <f ca="1">IF(AND('Mapa final'!$H$34="Muy Alta",'Mapa final'!$L$34="Catastrófico"),CONCATENATE("R",'Mapa final'!$A$34),"")</f>
        <v/>
      </c>
      <c r="AK8" s="354"/>
      <c r="AL8" s="354" t="str">
        <f>IF(AND('Mapa final'!$H$37="Muy Alta",'Mapa final'!$L$37="Catastrófico"),CONCATENATE("R",'Mapa final'!$A$37),"")</f>
        <v/>
      </c>
      <c r="AM8" s="355"/>
      <c r="AN8" s="82"/>
      <c r="AO8" s="300"/>
      <c r="AP8" s="301"/>
      <c r="AQ8" s="301"/>
      <c r="AR8" s="301"/>
      <c r="AS8" s="301"/>
      <c r="AT8" s="30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95"/>
      <c r="C9" s="295"/>
      <c r="D9" s="296"/>
      <c r="E9" s="336"/>
      <c r="F9" s="337"/>
      <c r="G9" s="337"/>
      <c r="H9" s="337"/>
      <c r="I9" s="338"/>
      <c r="J9" s="346"/>
      <c r="K9" s="342"/>
      <c r="L9" s="342"/>
      <c r="M9" s="342"/>
      <c r="N9" s="342"/>
      <c r="O9" s="343"/>
      <c r="P9" s="346"/>
      <c r="Q9" s="342"/>
      <c r="R9" s="342"/>
      <c r="S9" s="342"/>
      <c r="T9" s="342"/>
      <c r="U9" s="343"/>
      <c r="V9" s="346"/>
      <c r="W9" s="342"/>
      <c r="X9" s="342"/>
      <c r="Y9" s="342"/>
      <c r="Z9" s="342"/>
      <c r="AA9" s="343"/>
      <c r="AB9" s="346"/>
      <c r="AC9" s="342"/>
      <c r="AD9" s="342"/>
      <c r="AE9" s="342"/>
      <c r="AF9" s="342"/>
      <c r="AG9" s="343"/>
      <c r="AH9" s="353"/>
      <c r="AI9" s="354"/>
      <c r="AJ9" s="354"/>
      <c r="AK9" s="354"/>
      <c r="AL9" s="354"/>
      <c r="AM9" s="355"/>
      <c r="AN9" s="82"/>
      <c r="AO9" s="300"/>
      <c r="AP9" s="301"/>
      <c r="AQ9" s="301"/>
      <c r="AR9" s="301"/>
      <c r="AS9" s="301"/>
      <c r="AT9" s="30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95"/>
      <c r="C10" s="295"/>
      <c r="D10" s="296"/>
      <c r="E10" s="336"/>
      <c r="F10" s="337"/>
      <c r="G10" s="337"/>
      <c r="H10" s="337"/>
      <c r="I10" s="338"/>
      <c r="J10" s="346" t="str">
        <f>IF(AND('Mapa final'!$H$43="Muy Alta",'Mapa final'!$L$43="Leve"),CONCATENATE("R",'Mapa final'!$A$43),"")</f>
        <v/>
      </c>
      <c r="K10" s="342"/>
      <c r="L10" s="342" t="str">
        <f>IF(AND('Mapa final'!$H$49="Muy Alta",'Mapa final'!$L$49="Leve"),CONCATENATE("R",'Mapa final'!$A$49),"")</f>
        <v/>
      </c>
      <c r="M10" s="342"/>
      <c r="N10" s="342" t="str">
        <f>IF(AND('Mapa final'!$H$55="Muy Alta",'Mapa final'!$L$55="Leve"),CONCATENATE("R",'Mapa final'!$A$55),"")</f>
        <v/>
      </c>
      <c r="O10" s="343"/>
      <c r="P10" s="346" t="str">
        <f>IF(AND('Mapa final'!$H$43="Muy Alta",'Mapa final'!$L$43="Menor"),CONCATENATE("R",'Mapa final'!$A$43),"")</f>
        <v/>
      </c>
      <c r="Q10" s="342"/>
      <c r="R10" s="342" t="str">
        <f>IF(AND('Mapa final'!$H$49="Muy Alta",'Mapa final'!$L$49="Menor"),CONCATENATE("R",'Mapa final'!$A$49),"")</f>
        <v/>
      </c>
      <c r="S10" s="342"/>
      <c r="T10" s="342" t="str">
        <f>IF(AND('Mapa final'!$H$55="Muy Alta",'Mapa final'!$L$55="Menor"),CONCATENATE("R",'Mapa final'!$A$55),"")</f>
        <v/>
      </c>
      <c r="U10" s="343"/>
      <c r="V10" s="346" t="str">
        <f>IF(AND('Mapa final'!$H$43="Muy Alta",'Mapa final'!$L$43="Moderado"),CONCATENATE("R",'Mapa final'!$A$43),"")</f>
        <v/>
      </c>
      <c r="W10" s="342"/>
      <c r="X10" s="342" t="str">
        <f>IF(AND('Mapa final'!$H$49="Muy Alta",'Mapa final'!$L$49="Moderado"),CONCATENATE("R",'Mapa final'!$A$49),"")</f>
        <v/>
      </c>
      <c r="Y10" s="342"/>
      <c r="Z10" s="342" t="str">
        <f>IF(AND('Mapa final'!$H$55="Muy Alta",'Mapa final'!$L$55="Moderado"),CONCATENATE("R",'Mapa final'!$A$55),"")</f>
        <v/>
      </c>
      <c r="AA10" s="343"/>
      <c r="AB10" s="346" t="str">
        <f>IF(AND('Mapa final'!$H$43="Muy Alta",'Mapa final'!$L$43="Mayor"),CONCATENATE("R",'Mapa final'!$A$43),"")</f>
        <v/>
      </c>
      <c r="AC10" s="342"/>
      <c r="AD10" s="342" t="str">
        <f>IF(AND('Mapa final'!$H$49="Muy Alta",'Mapa final'!$L$49="Mayor"),CONCATENATE("R",'Mapa final'!$A$49),"")</f>
        <v/>
      </c>
      <c r="AE10" s="342"/>
      <c r="AF10" s="342" t="str">
        <f>IF(AND('Mapa final'!$H$55="Muy Alta",'Mapa final'!$L$55="Mayor"),CONCATENATE("R",'Mapa final'!$A$55),"")</f>
        <v/>
      </c>
      <c r="AG10" s="343"/>
      <c r="AH10" s="353" t="str">
        <f>IF(AND('Mapa final'!$H$43="Muy Alta",'Mapa final'!$L$43="Catastrófico"),CONCATENATE("R",'Mapa final'!$A$43),"")</f>
        <v/>
      </c>
      <c r="AI10" s="354"/>
      <c r="AJ10" s="354" t="str">
        <f>IF(AND('Mapa final'!$H$49="Muy Alta",'Mapa final'!$L$49="Catastrófico"),CONCATENATE("R",'Mapa final'!$A$49),"")</f>
        <v/>
      </c>
      <c r="AK10" s="354"/>
      <c r="AL10" s="354" t="str">
        <f>IF(AND('Mapa final'!$H$55="Muy Alta",'Mapa final'!$L$55="Catastrófico"),CONCATENATE("R",'Mapa final'!$A$55),"")</f>
        <v/>
      </c>
      <c r="AM10" s="355"/>
      <c r="AN10" s="82"/>
      <c r="AO10" s="300"/>
      <c r="AP10" s="301"/>
      <c r="AQ10" s="301"/>
      <c r="AR10" s="301"/>
      <c r="AS10" s="301"/>
      <c r="AT10" s="30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95"/>
      <c r="C11" s="295"/>
      <c r="D11" s="296"/>
      <c r="E11" s="336"/>
      <c r="F11" s="337"/>
      <c r="G11" s="337"/>
      <c r="H11" s="337"/>
      <c r="I11" s="338"/>
      <c r="J11" s="346"/>
      <c r="K11" s="342"/>
      <c r="L11" s="342"/>
      <c r="M11" s="342"/>
      <c r="N11" s="342"/>
      <c r="O11" s="343"/>
      <c r="P11" s="346"/>
      <c r="Q11" s="342"/>
      <c r="R11" s="342"/>
      <c r="S11" s="342"/>
      <c r="T11" s="342"/>
      <c r="U11" s="343"/>
      <c r="V11" s="346"/>
      <c r="W11" s="342"/>
      <c r="X11" s="342"/>
      <c r="Y11" s="342"/>
      <c r="Z11" s="342"/>
      <c r="AA11" s="343"/>
      <c r="AB11" s="346"/>
      <c r="AC11" s="342"/>
      <c r="AD11" s="342"/>
      <c r="AE11" s="342"/>
      <c r="AF11" s="342"/>
      <c r="AG11" s="343"/>
      <c r="AH11" s="353"/>
      <c r="AI11" s="354"/>
      <c r="AJ11" s="354"/>
      <c r="AK11" s="354"/>
      <c r="AL11" s="354"/>
      <c r="AM11" s="355"/>
      <c r="AN11" s="82"/>
      <c r="AO11" s="300"/>
      <c r="AP11" s="301"/>
      <c r="AQ11" s="301"/>
      <c r="AR11" s="301"/>
      <c r="AS11" s="301"/>
      <c r="AT11" s="30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95"/>
      <c r="C12" s="295"/>
      <c r="D12" s="296"/>
      <c r="E12" s="336"/>
      <c r="F12" s="337"/>
      <c r="G12" s="337"/>
      <c r="H12" s="337"/>
      <c r="I12" s="338"/>
      <c r="J12" s="346" t="str">
        <f ca="1">IF(AND('Mapa final'!$H$61="Muy Alta",'Mapa final'!$L$61="Leve"),CONCATENATE("R",'Mapa final'!$A$61),"")</f>
        <v/>
      </c>
      <c r="K12" s="342"/>
      <c r="L12" s="342" t="str">
        <f>IF(AND('Mapa final'!$H$67="Muy Alta",'Mapa final'!$L$67="Leve"),CONCATENATE("R",'Mapa final'!$A$67),"")</f>
        <v/>
      </c>
      <c r="M12" s="342"/>
      <c r="N12" s="342" t="str">
        <f>IF(AND('Mapa final'!$H$73="Muy Alta",'Mapa final'!$L$73="Leve"),CONCATENATE("R",'Mapa final'!$A$73),"")</f>
        <v/>
      </c>
      <c r="O12" s="343"/>
      <c r="P12" s="346" t="str">
        <f ca="1">IF(AND('Mapa final'!$H$61="Muy Alta",'Mapa final'!$L$61="Menor"),CONCATENATE("R",'Mapa final'!$A$61),"")</f>
        <v/>
      </c>
      <c r="Q12" s="342"/>
      <c r="R12" s="342" t="str">
        <f>IF(AND('Mapa final'!$H$67="Muy Alta",'Mapa final'!$L$67="Menor"),CONCATENATE("R",'Mapa final'!$A$67),"")</f>
        <v/>
      </c>
      <c r="S12" s="342"/>
      <c r="T12" s="342" t="str">
        <f>IF(AND('Mapa final'!$H$73="Muy Alta",'Mapa final'!$L$73="Menor"),CONCATENATE("R",'Mapa final'!$A$73),"")</f>
        <v/>
      </c>
      <c r="U12" s="343"/>
      <c r="V12" s="346" t="str">
        <f ca="1">IF(AND('Mapa final'!$H$61="Muy Alta",'Mapa final'!$L$61="Moderado"),CONCATENATE("R",'Mapa final'!$A$61),"")</f>
        <v/>
      </c>
      <c r="W12" s="342"/>
      <c r="X12" s="342" t="str">
        <f>IF(AND('Mapa final'!$H$67="Muy Alta",'Mapa final'!$L$67="Moderado"),CONCATENATE("R",'Mapa final'!$A$67),"")</f>
        <v/>
      </c>
      <c r="Y12" s="342"/>
      <c r="Z12" s="342" t="str">
        <f>IF(AND('Mapa final'!$H$73="Muy Alta",'Mapa final'!$L$73="Moderado"),CONCATENATE("R",'Mapa final'!$A$73),"")</f>
        <v/>
      </c>
      <c r="AA12" s="343"/>
      <c r="AB12" s="346" t="str">
        <f ca="1">IF(AND('Mapa final'!$H$61="Muy Alta",'Mapa final'!$L$61="Mayor"),CONCATENATE("R",'Mapa final'!$A$61),"")</f>
        <v/>
      </c>
      <c r="AC12" s="342"/>
      <c r="AD12" s="342" t="str">
        <f>IF(AND('Mapa final'!$H$67="Muy Alta",'Mapa final'!$L$67="Mayor"),CONCATENATE("R",'Mapa final'!$A$67),"")</f>
        <v/>
      </c>
      <c r="AE12" s="342"/>
      <c r="AF12" s="342" t="str">
        <f>IF(AND('Mapa final'!$H$73="Muy Alta",'Mapa final'!$L$73="Mayor"),CONCATENATE("R",'Mapa final'!$A$73),"")</f>
        <v/>
      </c>
      <c r="AG12" s="343"/>
      <c r="AH12" s="353" t="str">
        <f ca="1">IF(AND('Mapa final'!$H$61="Muy Alta",'Mapa final'!$L$61="Catastrófico"),CONCATENATE("R",'Mapa final'!$A$61),"")</f>
        <v/>
      </c>
      <c r="AI12" s="354"/>
      <c r="AJ12" s="354" t="str">
        <f>IF(AND('Mapa final'!$H$67="Muy Alta",'Mapa final'!$L$67="Catastrófico"),CONCATENATE("R",'Mapa final'!$A$67),"")</f>
        <v/>
      </c>
      <c r="AK12" s="354"/>
      <c r="AL12" s="354" t="str">
        <f>IF(AND('Mapa final'!$H$73="Muy Alta",'Mapa final'!$L$73="Catastrófico"),CONCATENATE("R",'Mapa final'!$A$73),"")</f>
        <v/>
      </c>
      <c r="AM12" s="355"/>
      <c r="AN12" s="82"/>
      <c r="AO12" s="300"/>
      <c r="AP12" s="301"/>
      <c r="AQ12" s="301"/>
      <c r="AR12" s="301"/>
      <c r="AS12" s="301"/>
      <c r="AT12" s="30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95"/>
      <c r="C13" s="295"/>
      <c r="D13" s="296"/>
      <c r="E13" s="339"/>
      <c r="F13" s="340"/>
      <c r="G13" s="340"/>
      <c r="H13" s="340"/>
      <c r="I13" s="341"/>
      <c r="J13" s="346"/>
      <c r="K13" s="342"/>
      <c r="L13" s="342"/>
      <c r="M13" s="342"/>
      <c r="N13" s="342"/>
      <c r="O13" s="343"/>
      <c r="P13" s="346"/>
      <c r="Q13" s="342"/>
      <c r="R13" s="342"/>
      <c r="S13" s="342"/>
      <c r="T13" s="342"/>
      <c r="U13" s="343"/>
      <c r="V13" s="346"/>
      <c r="W13" s="342"/>
      <c r="X13" s="342"/>
      <c r="Y13" s="342"/>
      <c r="Z13" s="342"/>
      <c r="AA13" s="343"/>
      <c r="AB13" s="346"/>
      <c r="AC13" s="342"/>
      <c r="AD13" s="342"/>
      <c r="AE13" s="342"/>
      <c r="AF13" s="342"/>
      <c r="AG13" s="343"/>
      <c r="AH13" s="356"/>
      <c r="AI13" s="357"/>
      <c r="AJ13" s="357"/>
      <c r="AK13" s="357"/>
      <c r="AL13" s="357"/>
      <c r="AM13" s="358"/>
      <c r="AN13" s="82"/>
      <c r="AO13" s="303"/>
      <c r="AP13" s="304"/>
      <c r="AQ13" s="304"/>
      <c r="AR13" s="304"/>
      <c r="AS13" s="304"/>
      <c r="AT13" s="30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95"/>
      <c r="C14" s="295"/>
      <c r="D14" s="296"/>
      <c r="E14" s="333" t="s">
        <v>114</v>
      </c>
      <c r="F14" s="334"/>
      <c r="G14" s="334"/>
      <c r="H14" s="334"/>
      <c r="I14" s="334"/>
      <c r="J14" s="368" t="str">
        <f ca="1">IF(AND('Mapa final'!$H$10="Alta",'Mapa final'!$L$10="Leve"),CONCATENATE("R",'Mapa final'!$A$10),"")</f>
        <v/>
      </c>
      <c r="K14" s="369"/>
      <c r="L14" s="369" t="str">
        <f ca="1">IF(AND('Mapa final'!$H$16="Alta",'Mapa final'!$L$16="Leve"),CONCATENATE("R",'Mapa final'!$A$16),"")</f>
        <v/>
      </c>
      <c r="M14" s="369"/>
      <c r="N14" s="369" t="str">
        <f ca="1">IF(AND('Mapa final'!$H$22="Alta",'Mapa final'!$L$22="Leve"),CONCATENATE("R",'Mapa final'!$A$22),"")</f>
        <v/>
      </c>
      <c r="O14" s="370"/>
      <c r="P14" s="368" t="str">
        <f ca="1">IF(AND('Mapa final'!$H$10="Alta",'Mapa final'!$L$10="Menor"),CONCATENATE("R",'Mapa final'!$A$10),"")</f>
        <v/>
      </c>
      <c r="Q14" s="369"/>
      <c r="R14" s="369" t="str">
        <f ca="1">IF(AND('Mapa final'!$H$16="Alta",'Mapa final'!$L$16="Menor"),CONCATENATE("R",'Mapa final'!$A$16),"")</f>
        <v/>
      </c>
      <c r="S14" s="369"/>
      <c r="T14" s="369" t="str">
        <f ca="1">IF(AND('Mapa final'!$H$22="Alta",'Mapa final'!$L$22="Menor"),CONCATENATE("R",'Mapa final'!$A$22),"")</f>
        <v/>
      </c>
      <c r="U14" s="370"/>
      <c r="V14" s="344" t="str">
        <f ca="1">IF(AND('Mapa final'!$H$10="Alta",'Mapa final'!$L$10="Moderado"),CONCATENATE("R",'Mapa final'!$A$10),"")</f>
        <v/>
      </c>
      <c r="W14" s="345"/>
      <c r="X14" s="345" t="str">
        <f ca="1">IF(AND('Mapa final'!$H$16="Alta",'Mapa final'!$L$16="Moderado"),CONCATENATE("R",'Mapa final'!$A$16),"")</f>
        <v>R2</v>
      </c>
      <c r="Y14" s="345"/>
      <c r="Z14" s="345" t="str">
        <f ca="1">IF(AND('Mapa final'!$H$22="Alta",'Mapa final'!$L$22="Moderado"),CONCATENATE("R",'Mapa final'!$A$22),"")</f>
        <v/>
      </c>
      <c r="AA14" s="347"/>
      <c r="AB14" s="344" t="str">
        <f ca="1">IF(AND('Mapa final'!$H$10="Alta",'Mapa final'!$L$10="Mayor"),CONCATENATE("R",'Mapa final'!$A$10),"")</f>
        <v/>
      </c>
      <c r="AC14" s="345"/>
      <c r="AD14" s="345" t="str">
        <f ca="1">IF(AND('Mapa final'!$H$16="Alta",'Mapa final'!$L$16="Mayor"),CONCATENATE("R",'Mapa final'!$A$16),"")</f>
        <v/>
      </c>
      <c r="AE14" s="345"/>
      <c r="AF14" s="345" t="str">
        <f ca="1">IF(AND('Mapa final'!$H$22="Alta",'Mapa final'!$L$22="Mayor"),CONCATENATE("R",'Mapa final'!$A$22),"")</f>
        <v/>
      </c>
      <c r="AG14" s="347"/>
      <c r="AH14" s="359" t="str">
        <f ca="1">IF(AND('Mapa final'!$H$10="Alta",'Mapa final'!$L$10="Catastrófico"),CONCATENATE("R",'Mapa final'!$A$10),"")</f>
        <v/>
      </c>
      <c r="AI14" s="360"/>
      <c r="AJ14" s="360" t="str">
        <f ca="1">IF(AND('Mapa final'!$H$16="Alta",'Mapa final'!$L$16="Catastrófico"),CONCATENATE("R",'Mapa final'!$A$16),"")</f>
        <v/>
      </c>
      <c r="AK14" s="360"/>
      <c r="AL14" s="360" t="str">
        <f ca="1">IF(AND('Mapa final'!$H$22="Alta",'Mapa final'!$L$22="Catastrófico"),CONCATENATE("R",'Mapa final'!$A$22),"")</f>
        <v/>
      </c>
      <c r="AM14" s="361"/>
      <c r="AN14" s="82"/>
      <c r="AO14" s="306" t="s">
        <v>79</v>
      </c>
      <c r="AP14" s="307"/>
      <c r="AQ14" s="307"/>
      <c r="AR14" s="307"/>
      <c r="AS14" s="307"/>
      <c r="AT14" s="30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95"/>
      <c r="C15" s="295"/>
      <c r="D15" s="296"/>
      <c r="E15" s="336"/>
      <c r="F15" s="337"/>
      <c r="G15" s="337"/>
      <c r="H15" s="337"/>
      <c r="I15" s="337"/>
      <c r="J15" s="362"/>
      <c r="K15" s="363"/>
      <c r="L15" s="363"/>
      <c r="M15" s="363"/>
      <c r="N15" s="363"/>
      <c r="O15" s="364"/>
      <c r="P15" s="362"/>
      <c r="Q15" s="363"/>
      <c r="R15" s="363"/>
      <c r="S15" s="363"/>
      <c r="T15" s="363"/>
      <c r="U15" s="364"/>
      <c r="V15" s="346"/>
      <c r="W15" s="342"/>
      <c r="X15" s="342"/>
      <c r="Y15" s="342"/>
      <c r="Z15" s="342"/>
      <c r="AA15" s="343"/>
      <c r="AB15" s="346"/>
      <c r="AC15" s="342"/>
      <c r="AD15" s="342"/>
      <c r="AE15" s="342"/>
      <c r="AF15" s="342"/>
      <c r="AG15" s="343"/>
      <c r="AH15" s="353"/>
      <c r="AI15" s="354"/>
      <c r="AJ15" s="354"/>
      <c r="AK15" s="354"/>
      <c r="AL15" s="354"/>
      <c r="AM15" s="355"/>
      <c r="AN15" s="82"/>
      <c r="AO15" s="309"/>
      <c r="AP15" s="310"/>
      <c r="AQ15" s="310"/>
      <c r="AR15" s="310"/>
      <c r="AS15" s="310"/>
      <c r="AT15" s="31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95"/>
      <c r="C16" s="295"/>
      <c r="D16" s="296"/>
      <c r="E16" s="336"/>
      <c r="F16" s="337"/>
      <c r="G16" s="337"/>
      <c r="H16" s="337"/>
      <c r="I16" s="337"/>
      <c r="J16" s="362" t="str">
        <f ca="1">IF(AND('Mapa final'!$H$28="Alta",'Mapa final'!$L$28="Leve"),CONCATENATE("R",'Mapa final'!$A$28),"")</f>
        <v/>
      </c>
      <c r="K16" s="363"/>
      <c r="L16" s="363" t="str">
        <f ca="1">IF(AND('Mapa final'!$H$34="Alta",'Mapa final'!$L$34="Leve"),CONCATENATE("R",'Mapa final'!$A$34),"")</f>
        <v/>
      </c>
      <c r="M16" s="363"/>
      <c r="N16" s="363" t="str">
        <f>IF(AND('Mapa final'!$H$37="Alta",'Mapa final'!$L$37="Leve"),CONCATENATE("R",'Mapa final'!$A$37),"")</f>
        <v/>
      </c>
      <c r="O16" s="364"/>
      <c r="P16" s="362" t="str">
        <f ca="1">IF(AND('Mapa final'!$H$28="Alta",'Mapa final'!$L$28="Menor"),CONCATENATE("R",'Mapa final'!$A$28),"")</f>
        <v>R4</v>
      </c>
      <c r="Q16" s="363"/>
      <c r="R16" s="363" t="str">
        <f ca="1">IF(AND('Mapa final'!$H$34="Alta",'Mapa final'!$L$34="Menor"),CONCATENATE("R",'Mapa final'!$A$34),"")</f>
        <v>R5</v>
      </c>
      <c r="S16" s="363"/>
      <c r="T16" s="363" t="str">
        <f>IF(AND('Mapa final'!$H$37="Alta",'Mapa final'!$L$37="Menor"),CONCATENATE("R",'Mapa final'!$A$37),"")</f>
        <v/>
      </c>
      <c r="U16" s="364"/>
      <c r="V16" s="346" t="str">
        <f ca="1">IF(AND('Mapa final'!$H$28="Alta",'Mapa final'!$L$28="Moderado"),CONCATENATE("R",'Mapa final'!$A$28),"")</f>
        <v/>
      </c>
      <c r="W16" s="342"/>
      <c r="X16" s="342" t="str">
        <f ca="1">IF(AND('Mapa final'!$H$34="Alta",'Mapa final'!$L$34="Moderado"),CONCATENATE("R",'Mapa final'!$A$34),"")</f>
        <v/>
      </c>
      <c r="Y16" s="342"/>
      <c r="Z16" s="342" t="str">
        <f>IF(AND('Mapa final'!$H$37="Alta",'Mapa final'!$L$37="Moderado"),CONCATENATE("R",'Mapa final'!$A$37),"")</f>
        <v/>
      </c>
      <c r="AA16" s="343"/>
      <c r="AB16" s="346" t="str">
        <f ca="1">IF(AND('Mapa final'!$H$28="Alta",'Mapa final'!$L$28="Mayor"),CONCATENATE("R",'Mapa final'!$A$28),"")</f>
        <v/>
      </c>
      <c r="AC16" s="342"/>
      <c r="AD16" s="342" t="str">
        <f ca="1">IF(AND('Mapa final'!$H$34="Alta",'Mapa final'!$L$34="Mayor"),CONCATENATE("R",'Mapa final'!$A$34),"")</f>
        <v/>
      </c>
      <c r="AE16" s="342"/>
      <c r="AF16" s="342" t="str">
        <f>IF(AND('Mapa final'!$H$37="Alta",'Mapa final'!$L$37="Mayor"),CONCATENATE("R",'Mapa final'!$A$37),"")</f>
        <v/>
      </c>
      <c r="AG16" s="343"/>
      <c r="AH16" s="353" t="str">
        <f ca="1">IF(AND('Mapa final'!$H$28="Alta",'Mapa final'!$L$28="Catastrófico"),CONCATENATE("R",'Mapa final'!$A$28),"")</f>
        <v/>
      </c>
      <c r="AI16" s="354"/>
      <c r="AJ16" s="354" t="str">
        <f ca="1">IF(AND('Mapa final'!$H$34="Alta",'Mapa final'!$L$34="Catastrófico"),CONCATENATE("R",'Mapa final'!$A$34),"")</f>
        <v/>
      </c>
      <c r="AK16" s="354"/>
      <c r="AL16" s="354" t="str">
        <f>IF(AND('Mapa final'!$H$37="Alta",'Mapa final'!$L$37="Catastrófico"),CONCATENATE("R",'Mapa final'!$A$37),"")</f>
        <v/>
      </c>
      <c r="AM16" s="355"/>
      <c r="AN16" s="82"/>
      <c r="AO16" s="309"/>
      <c r="AP16" s="310"/>
      <c r="AQ16" s="310"/>
      <c r="AR16" s="310"/>
      <c r="AS16" s="310"/>
      <c r="AT16" s="31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95"/>
      <c r="C17" s="295"/>
      <c r="D17" s="296"/>
      <c r="E17" s="336"/>
      <c r="F17" s="337"/>
      <c r="G17" s="337"/>
      <c r="H17" s="337"/>
      <c r="I17" s="337"/>
      <c r="J17" s="362"/>
      <c r="K17" s="363"/>
      <c r="L17" s="363"/>
      <c r="M17" s="363"/>
      <c r="N17" s="363"/>
      <c r="O17" s="364"/>
      <c r="P17" s="362"/>
      <c r="Q17" s="363"/>
      <c r="R17" s="363"/>
      <c r="S17" s="363"/>
      <c r="T17" s="363"/>
      <c r="U17" s="364"/>
      <c r="V17" s="346"/>
      <c r="W17" s="342"/>
      <c r="X17" s="342"/>
      <c r="Y17" s="342"/>
      <c r="Z17" s="342"/>
      <c r="AA17" s="343"/>
      <c r="AB17" s="346"/>
      <c r="AC17" s="342"/>
      <c r="AD17" s="342"/>
      <c r="AE17" s="342"/>
      <c r="AF17" s="342"/>
      <c r="AG17" s="343"/>
      <c r="AH17" s="353"/>
      <c r="AI17" s="354"/>
      <c r="AJ17" s="354"/>
      <c r="AK17" s="354"/>
      <c r="AL17" s="354"/>
      <c r="AM17" s="355"/>
      <c r="AN17" s="82"/>
      <c r="AO17" s="309"/>
      <c r="AP17" s="310"/>
      <c r="AQ17" s="310"/>
      <c r="AR17" s="310"/>
      <c r="AS17" s="310"/>
      <c r="AT17" s="31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95"/>
      <c r="C18" s="295"/>
      <c r="D18" s="296"/>
      <c r="E18" s="336"/>
      <c r="F18" s="337"/>
      <c r="G18" s="337"/>
      <c r="H18" s="337"/>
      <c r="I18" s="337"/>
      <c r="J18" s="362" t="str">
        <f>IF(AND('Mapa final'!$H$43="Alta",'Mapa final'!$L$43="Leve"),CONCATENATE("R",'Mapa final'!$A$43),"")</f>
        <v/>
      </c>
      <c r="K18" s="363"/>
      <c r="L18" s="363" t="str">
        <f>IF(AND('Mapa final'!$H$49="Alta",'Mapa final'!$L$49="Leve"),CONCATENATE("R",'Mapa final'!$A$49),"")</f>
        <v/>
      </c>
      <c r="M18" s="363"/>
      <c r="N18" s="363" t="str">
        <f>IF(AND('Mapa final'!$H$55="Alta",'Mapa final'!$L$55="Leve"),CONCATENATE("R",'Mapa final'!$A$55),"")</f>
        <v/>
      </c>
      <c r="O18" s="364"/>
      <c r="P18" s="362" t="str">
        <f>IF(AND('Mapa final'!$H$43="Alta",'Mapa final'!$L$43="Menor"),CONCATENATE("R",'Mapa final'!$A$43),"")</f>
        <v/>
      </c>
      <c r="Q18" s="363"/>
      <c r="R18" s="363" t="str">
        <f>IF(AND('Mapa final'!$H$49="Alta",'Mapa final'!$L$49="Menor"),CONCATENATE("R",'Mapa final'!$A$49),"")</f>
        <v/>
      </c>
      <c r="S18" s="363"/>
      <c r="T18" s="363" t="str">
        <f>IF(AND('Mapa final'!$H$55="Alta",'Mapa final'!$L$55="Menor"),CONCATENATE("R",'Mapa final'!$A$55),"")</f>
        <v/>
      </c>
      <c r="U18" s="364"/>
      <c r="V18" s="346" t="str">
        <f>IF(AND('Mapa final'!$H$43="Alta",'Mapa final'!$L$43="Moderado"),CONCATENATE("R",'Mapa final'!$A$43),"")</f>
        <v/>
      </c>
      <c r="W18" s="342"/>
      <c r="X18" s="342" t="str">
        <f>IF(AND('Mapa final'!$H$49="Alta",'Mapa final'!$L$49="Moderado"),CONCATENATE("R",'Mapa final'!$A$49),"")</f>
        <v/>
      </c>
      <c r="Y18" s="342"/>
      <c r="Z18" s="342" t="str">
        <f>IF(AND('Mapa final'!$H$55="Alta",'Mapa final'!$L$55="Moderado"),CONCATENATE("R",'Mapa final'!$A$55),"")</f>
        <v/>
      </c>
      <c r="AA18" s="343"/>
      <c r="AB18" s="346" t="str">
        <f>IF(AND('Mapa final'!$H$43="Alta",'Mapa final'!$L$43="Mayor"),CONCATENATE("R",'Mapa final'!$A$43),"")</f>
        <v/>
      </c>
      <c r="AC18" s="342"/>
      <c r="AD18" s="342" t="str">
        <f>IF(AND('Mapa final'!$H$49="Alta",'Mapa final'!$L$49="Mayor"),CONCATENATE("R",'Mapa final'!$A$49),"")</f>
        <v/>
      </c>
      <c r="AE18" s="342"/>
      <c r="AF18" s="342" t="str">
        <f>IF(AND('Mapa final'!$H$55="Alta",'Mapa final'!$L$55="Mayor"),CONCATENATE("R",'Mapa final'!$A$55),"")</f>
        <v/>
      </c>
      <c r="AG18" s="343"/>
      <c r="AH18" s="353" t="str">
        <f>IF(AND('Mapa final'!$H$43="Alta",'Mapa final'!$L$43="Catastrófico"),CONCATENATE("R",'Mapa final'!$A$43),"")</f>
        <v/>
      </c>
      <c r="AI18" s="354"/>
      <c r="AJ18" s="354" t="str">
        <f>IF(AND('Mapa final'!$H$49="Alta",'Mapa final'!$L$49="Catastrófico"),CONCATENATE("R",'Mapa final'!$A$49),"")</f>
        <v/>
      </c>
      <c r="AK18" s="354"/>
      <c r="AL18" s="354" t="str">
        <f>IF(AND('Mapa final'!$H$55="Alta",'Mapa final'!$L$55="Catastrófico"),CONCATENATE("R",'Mapa final'!$A$55),"")</f>
        <v/>
      </c>
      <c r="AM18" s="355"/>
      <c r="AN18" s="82"/>
      <c r="AO18" s="309"/>
      <c r="AP18" s="310"/>
      <c r="AQ18" s="310"/>
      <c r="AR18" s="310"/>
      <c r="AS18" s="310"/>
      <c r="AT18" s="31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95"/>
      <c r="C19" s="295"/>
      <c r="D19" s="296"/>
      <c r="E19" s="336"/>
      <c r="F19" s="337"/>
      <c r="G19" s="337"/>
      <c r="H19" s="337"/>
      <c r="I19" s="337"/>
      <c r="J19" s="362"/>
      <c r="K19" s="363"/>
      <c r="L19" s="363"/>
      <c r="M19" s="363"/>
      <c r="N19" s="363"/>
      <c r="O19" s="364"/>
      <c r="P19" s="362"/>
      <c r="Q19" s="363"/>
      <c r="R19" s="363"/>
      <c r="S19" s="363"/>
      <c r="T19" s="363"/>
      <c r="U19" s="364"/>
      <c r="V19" s="346"/>
      <c r="W19" s="342"/>
      <c r="X19" s="342"/>
      <c r="Y19" s="342"/>
      <c r="Z19" s="342"/>
      <c r="AA19" s="343"/>
      <c r="AB19" s="346"/>
      <c r="AC19" s="342"/>
      <c r="AD19" s="342"/>
      <c r="AE19" s="342"/>
      <c r="AF19" s="342"/>
      <c r="AG19" s="343"/>
      <c r="AH19" s="353"/>
      <c r="AI19" s="354"/>
      <c r="AJ19" s="354"/>
      <c r="AK19" s="354"/>
      <c r="AL19" s="354"/>
      <c r="AM19" s="355"/>
      <c r="AN19" s="82"/>
      <c r="AO19" s="309"/>
      <c r="AP19" s="310"/>
      <c r="AQ19" s="310"/>
      <c r="AR19" s="310"/>
      <c r="AS19" s="310"/>
      <c r="AT19" s="31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95"/>
      <c r="C20" s="295"/>
      <c r="D20" s="296"/>
      <c r="E20" s="336"/>
      <c r="F20" s="337"/>
      <c r="G20" s="337"/>
      <c r="H20" s="337"/>
      <c r="I20" s="337"/>
      <c r="J20" s="362" t="str">
        <f ca="1">IF(AND('Mapa final'!$H$61="Alta",'Mapa final'!$L$61="Leve"),CONCATENATE("R",'Mapa final'!$A$61),"")</f>
        <v/>
      </c>
      <c r="K20" s="363"/>
      <c r="L20" s="363" t="str">
        <f>IF(AND('Mapa final'!$H$67="Alta",'Mapa final'!$L$67="Leve"),CONCATENATE("R",'Mapa final'!$A$67),"")</f>
        <v/>
      </c>
      <c r="M20" s="363"/>
      <c r="N20" s="363" t="str">
        <f>IF(AND('Mapa final'!$H$73="Alta",'Mapa final'!$L$73="Leve"),CONCATENATE("R",'Mapa final'!$A$73),"")</f>
        <v/>
      </c>
      <c r="O20" s="364"/>
      <c r="P20" s="362" t="str">
        <f ca="1">IF(AND('Mapa final'!$H$61="Alta",'Mapa final'!$L$61="Menor"),CONCATENATE("R",'Mapa final'!$A$61),"")</f>
        <v/>
      </c>
      <c r="Q20" s="363"/>
      <c r="R20" s="363" t="str">
        <f>IF(AND('Mapa final'!$H$67="Alta",'Mapa final'!$L$67="Menor"),CONCATENATE("R",'Mapa final'!$A$67),"")</f>
        <v/>
      </c>
      <c r="S20" s="363"/>
      <c r="T20" s="363" t="str">
        <f>IF(AND('Mapa final'!$H$73="Alta",'Mapa final'!$L$73="Menor"),CONCATENATE("R",'Mapa final'!$A$73),"")</f>
        <v/>
      </c>
      <c r="U20" s="364"/>
      <c r="V20" s="346" t="str">
        <f ca="1">IF(AND('Mapa final'!$H$61="Alta",'Mapa final'!$L$61="Moderado"),CONCATENATE("R",'Mapa final'!$A$61),"")</f>
        <v/>
      </c>
      <c r="W20" s="342"/>
      <c r="X20" s="342" t="str">
        <f>IF(AND('Mapa final'!$H$67="Alta",'Mapa final'!$L$67="Moderado"),CONCATENATE("R",'Mapa final'!$A$67),"")</f>
        <v/>
      </c>
      <c r="Y20" s="342"/>
      <c r="Z20" s="342" t="str">
        <f>IF(AND('Mapa final'!$H$73="Alta",'Mapa final'!$L$73="Moderado"),CONCATENATE("R",'Mapa final'!$A$73),"")</f>
        <v/>
      </c>
      <c r="AA20" s="343"/>
      <c r="AB20" s="346" t="str">
        <f ca="1">IF(AND('Mapa final'!$H$61="Alta",'Mapa final'!$L$61="Mayor"),CONCATENATE("R",'Mapa final'!$A$61),"")</f>
        <v/>
      </c>
      <c r="AC20" s="342"/>
      <c r="AD20" s="342" t="str">
        <f>IF(AND('Mapa final'!$H$67="Alta",'Mapa final'!$L$67="Mayor"),CONCATENATE("R",'Mapa final'!$A$67),"")</f>
        <v/>
      </c>
      <c r="AE20" s="342"/>
      <c r="AF20" s="342" t="str">
        <f>IF(AND('Mapa final'!$H$73="Alta",'Mapa final'!$L$73="Mayor"),CONCATENATE("R",'Mapa final'!$A$73),"")</f>
        <v/>
      </c>
      <c r="AG20" s="343"/>
      <c r="AH20" s="353" t="str">
        <f ca="1">IF(AND('Mapa final'!$H$61="Alta",'Mapa final'!$L$61="Catastrófico"),CONCATENATE("R",'Mapa final'!$A$61),"")</f>
        <v/>
      </c>
      <c r="AI20" s="354"/>
      <c r="AJ20" s="354" t="str">
        <f>IF(AND('Mapa final'!$H$67="Alta",'Mapa final'!$L$67="Catastrófico"),CONCATENATE("R",'Mapa final'!$A$67),"")</f>
        <v/>
      </c>
      <c r="AK20" s="354"/>
      <c r="AL20" s="354" t="str">
        <f>IF(AND('Mapa final'!$H$73="Alta",'Mapa final'!$L$73="Catastrófico"),CONCATENATE("R",'Mapa final'!$A$73),"")</f>
        <v/>
      </c>
      <c r="AM20" s="355"/>
      <c r="AN20" s="82"/>
      <c r="AO20" s="309"/>
      <c r="AP20" s="310"/>
      <c r="AQ20" s="310"/>
      <c r="AR20" s="310"/>
      <c r="AS20" s="310"/>
      <c r="AT20" s="31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95"/>
      <c r="C21" s="295"/>
      <c r="D21" s="296"/>
      <c r="E21" s="339"/>
      <c r="F21" s="340"/>
      <c r="G21" s="340"/>
      <c r="H21" s="340"/>
      <c r="I21" s="340"/>
      <c r="J21" s="365"/>
      <c r="K21" s="366"/>
      <c r="L21" s="366"/>
      <c r="M21" s="366"/>
      <c r="N21" s="366"/>
      <c r="O21" s="367"/>
      <c r="P21" s="365"/>
      <c r="Q21" s="366"/>
      <c r="R21" s="366"/>
      <c r="S21" s="366"/>
      <c r="T21" s="366"/>
      <c r="U21" s="367"/>
      <c r="V21" s="350"/>
      <c r="W21" s="351"/>
      <c r="X21" s="351"/>
      <c r="Y21" s="351"/>
      <c r="Z21" s="351"/>
      <c r="AA21" s="352"/>
      <c r="AB21" s="350"/>
      <c r="AC21" s="351"/>
      <c r="AD21" s="351"/>
      <c r="AE21" s="351"/>
      <c r="AF21" s="351"/>
      <c r="AG21" s="352"/>
      <c r="AH21" s="356"/>
      <c r="AI21" s="357"/>
      <c r="AJ21" s="357"/>
      <c r="AK21" s="357"/>
      <c r="AL21" s="357"/>
      <c r="AM21" s="358"/>
      <c r="AN21" s="82"/>
      <c r="AO21" s="312"/>
      <c r="AP21" s="313"/>
      <c r="AQ21" s="313"/>
      <c r="AR21" s="313"/>
      <c r="AS21" s="313"/>
      <c r="AT21" s="31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95"/>
      <c r="C22" s="295"/>
      <c r="D22" s="296"/>
      <c r="E22" s="333" t="s">
        <v>116</v>
      </c>
      <c r="F22" s="334"/>
      <c r="G22" s="334"/>
      <c r="H22" s="334"/>
      <c r="I22" s="335"/>
      <c r="J22" s="368" t="str">
        <f ca="1">IF(AND('Mapa final'!$H$10="Media",'Mapa final'!$L$10="Leve"),CONCATENATE("R",'Mapa final'!$A$10),"")</f>
        <v/>
      </c>
      <c r="K22" s="369"/>
      <c r="L22" s="369" t="str">
        <f ca="1">IF(AND('Mapa final'!$H$16="Media",'Mapa final'!$L$16="Leve"),CONCATENATE("R",'Mapa final'!$A$16),"")</f>
        <v/>
      </c>
      <c r="M22" s="369"/>
      <c r="N22" s="369" t="str">
        <f ca="1">IF(AND('Mapa final'!$H$22="Media",'Mapa final'!$L$22="Leve"),CONCATENATE("R",'Mapa final'!$A$22),"")</f>
        <v/>
      </c>
      <c r="O22" s="370"/>
      <c r="P22" s="368" t="str">
        <f ca="1">IF(AND('Mapa final'!$H$10="Media",'Mapa final'!$L$10="Menor"),CONCATENATE("R",'Mapa final'!$A$10),"")</f>
        <v/>
      </c>
      <c r="Q22" s="369"/>
      <c r="R22" s="369" t="str">
        <f ca="1">IF(AND('Mapa final'!$H$16="Media",'Mapa final'!$L$16="Menor"),CONCATENATE("R",'Mapa final'!$A$16),"")</f>
        <v/>
      </c>
      <c r="S22" s="369"/>
      <c r="T22" s="369" t="str">
        <f ca="1">IF(AND('Mapa final'!$H$22="Media",'Mapa final'!$L$22="Menor"),CONCATENATE("R",'Mapa final'!$A$22),"")</f>
        <v/>
      </c>
      <c r="U22" s="370"/>
      <c r="V22" s="368" t="str">
        <f ca="1">IF(AND('Mapa final'!$H$10="Media",'Mapa final'!$L$10="Moderado"),CONCATENATE("R",'Mapa final'!$A$10),"")</f>
        <v/>
      </c>
      <c r="W22" s="369"/>
      <c r="X22" s="369" t="str">
        <f ca="1">IF(AND('Mapa final'!$H$16="Media",'Mapa final'!$L$16="Moderado"),CONCATENATE("R",'Mapa final'!$A$16),"")</f>
        <v/>
      </c>
      <c r="Y22" s="369"/>
      <c r="Z22" s="369" t="str">
        <f ca="1">IF(AND('Mapa final'!$H$22="Media",'Mapa final'!$L$22="Moderado"),CONCATENATE("R",'Mapa final'!$A$22),"")</f>
        <v>R3</v>
      </c>
      <c r="AA22" s="370"/>
      <c r="AB22" s="344" t="str">
        <f ca="1">IF(AND('Mapa final'!$H$10="Media",'Mapa final'!$L$10="Mayor"),CONCATENATE("R",'Mapa final'!$A$10),"")</f>
        <v>R1</v>
      </c>
      <c r="AC22" s="345"/>
      <c r="AD22" s="345" t="str">
        <f ca="1">IF(AND('Mapa final'!$H$16="Media",'Mapa final'!$L$16="Mayor"),CONCATENATE("R",'Mapa final'!$A$16),"")</f>
        <v/>
      </c>
      <c r="AE22" s="345"/>
      <c r="AF22" s="345" t="str">
        <f ca="1">IF(AND('Mapa final'!$H$22="Media",'Mapa final'!$L$22="Mayor"),CONCATENATE("R",'Mapa final'!$A$22),"")</f>
        <v/>
      </c>
      <c r="AG22" s="347"/>
      <c r="AH22" s="359" t="str">
        <f ca="1">IF(AND('Mapa final'!$H$10="Media",'Mapa final'!$L$10="Catastrófico"),CONCATENATE("R",'Mapa final'!$A$10),"")</f>
        <v/>
      </c>
      <c r="AI22" s="360"/>
      <c r="AJ22" s="360" t="str">
        <f ca="1">IF(AND('Mapa final'!$H$16="Media",'Mapa final'!$L$16="Catastrófico"),CONCATENATE("R",'Mapa final'!$A$16),"")</f>
        <v/>
      </c>
      <c r="AK22" s="360"/>
      <c r="AL22" s="360" t="str">
        <f ca="1">IF(AND('Mapa final'!$H$22="Media",'Mapa final'!$L$22="Catastrófico"),CONCATENATE("R",'Mapa final'!$A$22),"")</f>
        <v/>
      </c>
      <c r="AM22" s="361"/>
      <c r="AN22" s="82"/>
      <c r="AO22" s="315" t="s">
        <v>80</v>
      </c>
      <c r="AP22" s="316"/>
      <c r="AQ22" s="316"/>
      <c r="AR22" s="316"/>
      <c r="AS22" s="316"/>
      <c r="AT22" s="31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95"/>
      <c r="C23" s="295"/>
      <c r="D23" s="296"/>
      <c r="E23" s="336"/>
      <c r="F23" s="337"/>
      <c r="G23" s="337"/>
      <c r="H23" s="337"/>
      <c r="I23" s="338"/>
      <c r="J23" s="362"/>
      <c r="K23" s="363"/>
      <c r="L23" s="363"/>
      <c r="M23" s="363"/>
      <c r="N23" s="363"/>
      <c r="O23" s="364"/>
      <c r="P23" s="362"/>
      <c r="Q23" s="363"/>
      <c r="R23" s="363"/>
      <c r="S23" s="363"/>
      <c r="T23" s="363"/>
      <c r="U23" s="364"/>
      <c r="V23" s="362"/>
      <c r="W23" s="363"/>
      <c r="X23" s="363"/>
      <c r="Y23" s="363"/>
      <c r="Z23" s="363"/>
      <c r="AA23" s="364"/>
      <c r="AB23" s="346"/>
      <c r="AC23" s="342"/>
      <c r="AD23" s="342"/>
      <c r="AE23" s="342"/>
      <c r="AF23" s="342"/>
      <c r="AG23" s="343"/>
      <c r="AH23" s="353"/>
      <c r="AI23" s="354"/>
      <c r="AJ23" s="354"/>
      <c r="AK23" s="354"/>
      <c r="AL23" s="354"/>
      <c r="AM23" s="355"/>
      <c r="AN23" s="82"/>
      <c r="AO23" s="318"/>
      <c r="AP23" s="319"/>
      <c r="AQ23" s="319"/>
      <c r="AR23" s="319"/>
      <c r="AS23" s="319"/>
      <c r="AT23" s="32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95"/>
      <c r="C24" s="295"/>
      <c r="D24" s="296"/>
      <c r="E24" s="336"/>
      <c r="F24" s="337"/>
      <c r="G24" s="337"/>
      <c r="H24" s="337"/>
      <c r="I24" s="338"/>
      <c r="J24" s="362" t="str">
        <f ca="1">IF(AND('Mapa final'!$H$28="Media",'Mapa final'!$L$28="Leve"),CONCATENATE("R",'Mapa final'!$A$28),"")</f>
        <v/>
      </c>
      <c r="K24" s="363"/>
      <c r="L24" s="363" t="str">
        <f ca="1">IF(AND('Mapa final'!$H$34="Media",'Mapa final'!$L$34="Leve"),CONCATENATE("R",'Mapa final'!$A$34),"")</f>
        <v/>
      </c>
      <c r="M24" s="363"/>
      <c r="N24" s="363" t="str">
        <f>IF(AND('Mapa final'!$H$37="Media",'Mapa final'!$L$37="Leve"),CONCATENATE("R",'Mapa final'!$A$37),"")</f>
        <v/>
      </c>
      <c r="O24" s="364"/>
      <c r="P24" s="362" t="str">
        <f ca="1">IF(AND('Mapa final'!$H$28="Media",'Mapa final'!$L$28="Menor"),CONCATENATE("R",'Mapa final'!$A$28),"")</f>
        <v/>
      </c>
      <c r="Q24" s="363"/>
      <c r="R24" s="363" t="str">
        <f ca="1">IF(AND('Mapa final'!$H$34="Media",'Mapa final'!$L$34="Menor"),CONCATENATE("R",'Mapa final'!$A$34),"")</f>
        <v/>
      </c>
      <c r="S24" s="363"/>
      <c r="T24" s="363" t="str">
        <f>IF(AND('Mapa final'!$H$37="Media",'Mapa final'!$L$37="Menor"),CONCATENATE("R",'Mapa final'!$A$37),"")</f>
        <v/>
      </c>
      <c r="U24" s="364"/>
      <c r="V24" s="362" t="str">
        <f ca="1">IF(AND('Mapa final'!$H$28="Media",'Mapa final'!$L$28="Moderado"),CONCATENATE("R",'Mapa final'!$A$28),"")</f>
        <v/>
      </c>
      <c r="W24" s="363"/>
      <c r="X24" s="363" t="str">
        <f ca="1">IF(AND('Mapa final'!$H$34="Media",'Mapa final'!$L$34="Moderado"),CONCATENATE("R",'Mapa final'!$A$34),"")</f>
        <v/>
      </c>
      <c r="Y24" s="363"/>
      <c r="Z24" s="363" t="str">
        <f>IF(AND('Mapa final'!$H$37="Media",'Mapa final'!$L$37="Moderado"),CONCATENATE("R",'Mapa final'!$A$37),"")</f>
        <v/>
      </c>
      <c r="AA24" s="364"/>
      <c r="AB24" s="346" t="str">
        <f ca="1">IF(AND('Mapa final'!$H$28="Media",'Mapa final'!$L$28="Mayor"),CONCATENATE("R",'Mapa final'!$A$28),"")</f>
        <v/>
      </c>
      <c r="AC24" s="342"/>
      <c r="AD24" s="342" t="str">
        <f ca="1">IF(AND('Mapa final'!$H$34="Media",'Mapa final'!$L$34="Mayor"),CONCATENATE("R",'Mapa final'!$A$34),"")</f>
        <v/>
      </c>
      <c r="AE24" s="342"/>
      <c r="AF24" s="342" t="str">
        <f>IF(AND('Mapa final'!$H$37="Media",'Mapa final'!$L$37="Mayor"),CONCATENATE("R",'Mapa final'!$A$37),"")</f>
        <v/>
      </c>
      <c r="AG24" s="343"/>
      <c r="AH24" s="353" t="str">
        <f ca="1">IF(AND('Mapa final'!$H$28="Media",'Mapa final'!$L$28="Catastrófico"),CONCATENATE("R",'Mapa final'!$A$28),"")</f>
        <v/>
      </c>
      <c r="AI24" s="354"/>
      <c r="AJ24" s="354" t="str">
        <f ca="1">IF(AND('Mapa final'!$H$34="Media",'Mapa final'!$L$34="Catastrófico"),CONCATENATE("R",'Mapa final'!$A$34),"")</f>
        <v/>
      </c>
      <c r="AK24" s="354"/>
      <c r="AL24" s="354" t="str">
        <f>IF(AND('Mapa final'!$H$37="Media",'Mapa final'!$L$37="Catastrófico"),CONCATENATE("R",'Mapa final'!$A$37),"")</f>
        <v/>
      </c>
      <c r="AM24" s="355"/>
      <c r="AN24" s="82"/>
      <c r="AO24" s="318"/>
      <c r="AP24" s="319"/>
      <c r="AQ24" s="319"/>
      <c r="AR24" s="319"/>
      <c r="AS24" s="319"/>
      <c r="AT24" s="32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95"/>
      <c r="C25" s="295"/>
      <c r="D25" s="296"/>
      <c r="E25" s="336"/>
      <c r="F25" s="337"/>
      <c r="G25" s="337"/>
      <c r="H25" s="337"/>
      <c r="I25" s="338"/>
      <c r="J25" s="362"/>
      <c r="K25" s="363"/>
      <c r="L25" s="363"/>
      <c r="M25" s="363"/>
      <c r="N25" s="363"/>
      <c r="O25" s="364"/>
      <c r="P25" s="362"/>
      <c r="Q25" s="363"/>
      <c r="R25" s="363"/>
      <c r="S25" s="363"/>
      <c r="T25" s="363"/>
      <c r="U25" s="364"/>
      <c r="V25" s="362"/>
      <c r="W25" s="363"/>
      <c r="X25" s="363"/>
      <c r="Y25" s="363"/>
      <c r="Z25" s="363"/>
      <c r="AA25" s="364"/>
      <c r="AB25" s="346"/>
      <c r="AC25" s="342"/>
      <c r="AD25" s="342"/>
      <c r="AE25" s="342"/>
      <c r="AF25" s="342"/>
      <c r="AG25" s="343"/>
      <c r="AH25" s="353"/>
      <c r="AI25" s="354"/>
      <c r="AJ25" s="354"/>
      <c r="AK25" s="354"/>
      <c r="AL25" s="354"/>
      <c r="AM25" s="355"/>
      <c r="AN25" s="82"/>
      <c r="AO25" s="318"/>
      <c r="AP25" s="319"/>
      <c r="AQ25" s="319"/>
      <c r="AR25" s="319"/>
      <c r="AS25" s="319"/>
      <c r="AT25" s="32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95"/>
      <c r="C26" s="295"/>
      <c r="D26" s="296"/>
      <c r="E26" s="336"/>
      <c r="F26" s="337"/>
      <c r="G26" s="337"/>
      <c r="H26" s="337"/>
      <c r="I26" s="338"/>
      <c r="J26" s="362" t="str">
        <f>IF(AND('Mapa final'!$H$43="Media",'Mapa final'!$L$43="Leve"),CONCATENATE("R",'Mapa final'!$A$43),"")</f>
        <v/>
      </c>
      <c r="K26" s="363"/>
      <c r="L26" s="363" t="str">
        <f>IF(AND('Mapa final'!$H$49="Media",'Mapa final'!$L$49="Leve"),CONCATENATE("R",'Mapa final'!$A$49),"")</f>
        <v/>
      </c>
      <c r="M26" s="363"/>
      <c r="N26" s="363" t="str">
        <f>IF(AND('Mapa final'!$H$55="Media",'Mapa final'!$L$55="Leve"),CONCATENATE("R",'Mapa final'!$A$55),"")</f>
        <v/>
      </c>
      <c r="O26" s="364"/>
      <c r="P26" s="362" t="str">
        <f>IF(AND('Mapa final'!$H$43="Media",'Mapa final'!$L$43="Menor"),CONCATENATE("R",'Mapa final'!$A$43),"")</f>
        <v/>
      </c>
      <c r="Q26" s="363"/>
      <c r="R26" s="363" t="str">
        <f>IF(AND('Mapa final'!$H$49="Media",'Mapa final'!$L$49="Menor"),CONCATENATE("R",'Mapa final'!$A$49),"")</f>
        <v/>
      </c>
      <c r="S26" s="363"/>
      <c r="T26" s="363" t="str">
        <f>IF(AND('Mapa final'!$H$55="Media",'Mapa final'!$L$55="Menor"),CONCATENATE("R",'Mapa final'!$A$55),"")</f>
        <v/>
      </c>
      <c r="U26" s="364"/>
      <c r="V26" s="362" t="str">
        <f>IF(AND('Mapa final'!$H$43="Media",'Mapa final'!$L$43="Moderado"),CONCATENATE("R",'Mapa final'!$A$43),"")</f>
        <v/>
      </c>
      <c r="W26" s="363"/>
      <c r="X26" s="363" t="str">
        <f>IF(AND('Mapa final'!$H$49="Media",'Mapa final'!$L$49="Moderado"),CONCATENATE("R",'Mapa final'!$A$49),"")</f>
        <v/>
      </c>
      <c r="Y26" s="363"/>
      <c r="Z26" s="363" t="str">
        <f>IF(AND('Mapa final'!$H$55="Media",'Mapa final'!$L$55="Moderado"),CONCATENATE("R",'Mapa final'!$A$55),"")</f>
        <v/>
      </c>
      <c r="AA26" s="364"/>
      <c r="AB26" s="346" t="str">
        <f>IF(AND('Mapa final'!$H$43="Media",'Mapa final'!$L$43="Mayor"),CONCATENATE("R",'Mapa final'!$A$43),"")</f>
        <v/>
      </c>
      <c r="AC26" s="342"/>
      <c r="AD26" s="342" t="str">
        <f>IF(AND('Mapa final'!$H$49="Media",'Mapa final'!$L$49="Mayor"),CONCATENATE("R",'Mapa final'!$A$49),"")</f>
        <v/>
      </c>
      <c r="AE26" s="342"/>
      <c r="AF26" s="342" t="str">
        <f>IF(AND('Mapa final'!$H$55="Media",'Mapa final'!$L$55="Mayor"),CONCATENATE("R",'Mapa final'!$A$55),"")</f>
        <v/>
      </c>
      <c r="AG26" s="343"/>
      <c r="AH26" s="353" t="str">
        <f>IF(AND('Mapa final'!$H$43="Media",'Mapa final'!$L$43="Catastrófico"),CONCATENATE("R",'Mapa final'!$A$43),"")</f>
        <v/>
      </c>
      <c r="AI26" s="354"/>
      <c r="AJ26" s="354" t="str">
        <f>IF(AND('Mapa final'!$H$49="Media",'Mapa final'!$L$49="Catastrófico"),CONCATENATE("R",'Mapa final'!$A$49),"")</f>
        <v/>
      </c>
      <c r="AK26" s="354"/>
      <c r="AL26" s="354" t="str">
        <f>IF(AND('Mapa final'!$H$55="Media",'Mapa final'!$L$55="Catastrófico"),CONCATENATE("R",'Mapa final'!$A$55),"")</f>
        <v/>
      </c>
      <c r="AM26" s="355"/>
      <c r="AN26" s="82"/>
      <c r="AO26" s="318"/>
      <c r="AP26" s="319"/>
      <c r="AQ26" s="319"/>
      <c r="AR26" s="319"/>
      <c r="AS26" s="319"/>
      <c r="AT26" s="32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95"/>
      <c r="C27" s="295"/>
      <c r="D27" s="296"/>
      <c r="E27" s="336"/>
      <c r="F27" s="337"/>
      <c r="G27" s="337"/>
      <c r="H27" s="337"/>
      <c r="I27" s="338"/>
      <c r="J27" s="362"/>
      <c r="K27" s="363"/>
      <c r="L27" s="363"/>
      <c r="M27" s="363"/>
      <c r="N27" s="363"/>
      <c r="O27" s="364"/>
      <c r="P27" s="362"/>
      <c r="Q27" s="363"/>
      <c r="R27" s="363"/>
      <c r="S27" s="363"/>
      <c r="T27" s="363"/>
      <c r="U27" s="364"/>
      <c r="V27" s="362"/>
      <c r="W27" s="363"/>
      <c r="X27" s="363"/>
      <c r="Y27" s="363"/>
      <c r="Z27" s="363"/>
      <c r="AA27" s="364"/>
      <c r="AB27" s="346"/>
      <c r="AC27" s="342"/>
      <c r="AD27" s="342"/>
      <c r="AE27" s="342"/>
      <c r="AF27" s="342"/>
      <c r="AG27" s="343"/>
      <c r="AH27" s="353"/>
      <c r="AI27" s="354"/>
      <c r="AJ27" s="354"/>
      <c r="AK27" s="354"/>
      <c r="AL27" s="354"/>
      <c r="AM27" s="355"/>
      <c r="AN27" s="82"/>
      <c r="AO27" s="318"/>
      <c r="AP27" s="319"/>
      <c r="AQ27" s="319"/>
      <c r="AR27" s="319"/>
      <c r="AS27" s="319"/>
      <c r="AT27" s="32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95"/>
      <c r="C28" s="295"/>
      <c r="D28" s="296"/>
      <c r="E28" s="336"/>
      <c r="F28" s="337"/>
      <c r="G28" s="337"/>
      <c r="H28" s="337"/>
      <c r="I28" s="338"/>
      <c r="J28" s="362" t="str">
        <f ca="1">IF(AND('Mapa final'!$H$61="Media",'Mapa final'!$L$61="Leve"),CONCATENATE("R",'Mapa final'!$A$61),"")</f>
        <v/>
      </c>
      <c r="K28" s="363"/>
      <c r="L28" s="363" t="str">
        <f>IF(AND('Mapa final'!$H$67="Media",'Mapa final'!$L$67="Leve"),CONCATENATE("R",'Mapa final'!$A$67),"")</f>
        <v/>
      </c>
      <c r="M28" s="363"/>
      <c r="N28" s="363" t="str">
        <f>IF(AND('Mapa final'!$H$73="Media",'Mapa final'!$L$73="Leve"),CONCATENATE("R",'Mapa final'!$A$73),"")</f>
        <v/>
      </c>
      <c r="O28" s="364"/>
      <c r="P28" s="362" t="str">
        <f ca="1">IF(AND('Mapa final'!$H$61="Media",'Mapa final'!$L$61="Menor"),CONCATENATE("R",'Mapa final'!$A$61),"")</f>
        <v/>
      </c>
      <c r="Q28" s="363"/>
      <c r="R28" s="363" t="str">
        <f>IF(AND('Mapa final'!$H$67="Media",'Mapa final'!$L$67="Menor"),CONCATENATE("R",'Mapa final'!$A$67),"")</f>
        <v/>
      </c>
      <c r="S28" s="363"/>
      <c r="T28" s="363" t="str">
        <f>IF(AND('Mapa final'!$H$73="Media",'Mapa final'!$L$73="Menor"),CONCATENATE("R",'Mapa final'!$A$73),"")</f>
        <v/>
      </c>
      <c r="U28" s="364"/>
      <c r="V28" s="362" t="str">
        <f ca="1">IF(AND('Mapa final'!$H$61="Media",'Mapa final'!$L$61="Moderado"),CONCATENATE("R",'Mapa final'!$A$61),"")</f>
        <v/>
      </c>
      <c r="W28" s="363"/>
      <c r="X28" s="363" t="str">
        <f>IF(AND('Mapa final'!$H$67="Media",'Mapa final'!$L$67="Moderado"),CONCATENATE("R",'Mapa final'!$A$67),"")</f>
        <v/>
      </c>
      <c r="Y28" s="363"/>
      <c r="Z28" s="363" t="str">
        <f>IF(AND('Mapa final'!$H$73="Media",'Mapa final'!$L$73="Moderado"),CONCATENATE("R",'Mapa final'!$A$73),"")</f>
        <v/>
      </c>
      <c r="AA28" s="364"/>
      <c r="AB28" s="346" t="str">
        <f ca="1">IF(AND('Mapa final'!$H$61="Media",'Mapa final'!$L$61="Mayor"),CONCATENATE("R",'Mapa final'!$A$61),"")</f>
        <v/>
      </c>
      <c r="AC28" s="342"/>
      <c r="AD28" s="342" t="str">
        <f>IF(AND('Mapa final'!$H$67="Media",'Mapa final'!$L$67="Mayor"),CONCATENATE("R",'Mapa final'!$A$67),"")</f>
        <v/>
      </c>
      <c r="AE28" s="342"/>
      <c r="AF28" s="342" t="str">
        <f>IF(AND('Mapa final'!$H$73="Media",'Mapa final'!$L$73="Mayor"),CONCATENATE("R",'Mapa final'!$A$73),"")</f>
        <v/>
      </c>
      <c r="AG28" s="343"/>
      <c r="AH28" s="353" t="str">
        <f ca="1">IF(AND('Mapa final'!$H$61="Media",'Mapa final'!$L$61="Catastrófico"),CONCATENATE("R",'Mapa final'!$A$61),"")</f>
        <v/>
      </c>
      <c r="AI28" s="354"/>
      <c r="AJ28" s="354" t="str">
        <f>IF(AND('Mapa final'!$H$67="Media",'Mapa final'!$L$67="Catastrófico"),CONCATENATE("R",'Mapa final'!$A$67),"")</f>
        <v/>
      </c>
      <c r="AK28" s="354"/>
      <c r="AL28" s="354" t="str">
        <f>IF(AND('Mapa final'!$H$73="Media",'Mapa final'!$L$73="Catastrófico"),CONCATENATE("R",'Mapa final'!$A$73),"")</f>
        <v/>
      </c>
      <c r="AM28" s="355"/>
      <c r="AN28" s="82"/>
      <c r="AO28" s="318"/>
      <c r="AP28" s="319"/>
      <c r="AQ28" s="319"/>
      <c r="AR28" s="319"/>
      <c r="AS28" s="319"/>
      <c r="AT28" s="32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95"/>
      <c r="C29" s="295"/>
      <c r="D29" s="296"/>
      <c r="E29" s="339"/>
      <c r="F29" s="340"/>
      <c r="G29" s="340"/>
      <c r="H29" s="340"/>
      <c r="I29" s="341"/>
      <c r="J29" s="362"/>
      <c r="K29" s="363"/>
      <c r="L29" s="363"/>
      <c r="M29" s="363"/>
      <c r="N29" s="363"/>
      <c r="O29" s="364"/>
      <c r="P29" s="365"/>
      <c r="Q29" s="366"/>
      <c r="R29" s="366"/>
      <c r="S29" s="366"/>
      <c r="T29" s="366"/>
      <c r="U29" s="367"/>
      <c r="V29" s="365"/>
      <c r="W29" s="366"/>
      <c r="X29" s="366"/>
      <c r="Y29" s="366"/>
      <c r="Z29" s="366"/>
      <c r="AA29" s="367"/>
      <c r="AB29" s="350"/>
      <c r="AC29" s="351"/>
      <c r="AD29" s="351"/>
      <c r="AE29" s="351"/>
      <c r="AF29" s="351"/>
      <c r="AG29" s="352"/>
      <c r="AH29" s="356"/>
      <c r="AI29" s="357"/>
      <c r="AJ29" s="357"/>
      <c r="AK29" s="357"/>
      <c r="AL29" s="357"/>
      <c r="AM29" s="358"/>
      <c r="AN29" s="82"/>
      <c r="AO29" s="321"/>
      <c r="AP29" s="322"/>
      <c r="AQ29" s="322"/>
      <c r="AR29" s="322"/>
      <c r="AS29" s="322"/>
      <c r="AT29" s="32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95"/>
      <c r="C30" s="295"/>
      <c r="D30" s="296"/>
      <c r="E30" s="333" t="s">
        <v>113</v>
      </c>
      <c r="F30" s="334"/>
      <c r="G30" s="334"/>
      <c r="H30" s="334"/>
      <c r="I30" s="334"/>
      <c r="J30" s="377" t="str">
        <f ca="1">IF(AND('Mapa final'!$H$10="Baja",'Mapa final'!$L$10="Leve"),CONCATENATE("R",'Mapa final'!$A$10),"")</f>
        <v/>
      </c>
      <c r="K30" s="378"/>
      <c r="L30" s="378" t="str">
        <f ca="1">IF(AND('Mapa final'!$H$16="Baja",'Mapa final'!$L$16="Leve"),CONCATENATE("R",'Mapa final'!$A$16),"")</f>
        <v/>
      </c>
      <c r="M30" s="378"/>
      <c r="N30" s="378" t="str">
        <f ca="1">IF(AND('Mapa final'!$H$22="Baja",'Mapa final'!$L$22="Leve"),CONCATENATE("R",'Mapa final'!$A$22),"")</f>
        <v/>
      </c>
      <c r="O30" s="379"/>
      <c r="P30" s="369" t="str">
        <f ca="1">IF(AND('Mapa final'!$H$10="Baja",'Mapa final'!$L$10="Menor"),CONCATENATE("R",'Mapa final'!$A$10),"")</f>
        <v/>
      </c>
      <c r="Q30" s="369"/>
      <c r="R30" s="369" t="str">
        <f ca="1">IF(AND('Mapa final'!$H$16="Baja",'Mapa final'!$L$16="Menor"),CONCATENATE("R",'Mapa final'!$A$16),"")</f>
        <v/>
      </c>
      <c r="S30" s="369"/>
      <c r="T30" s="369" t="str">
        <f ca="1">IF(AND('Mapa final'!$H$22="Baja",'Mapa final'!$L$22="Menor"),CONCATENATE("R",'Mapa final'!$A$22),"")</f>
        <v/>
      </c>
      <c r="U30" s="370"/>
      <c r="V30" s="368" t="str">
        <f ca="1">IF(AND('Mapa final'!$H$10="Baja",'Mapa final'!$L$10="Moderado"),CONCATENATE("R",'Mapa final'!$A$10),"")</f>
        <v/>
      </c>
      <c r="W30" s="369"/>
      <c r="X30" s="369" t="str">
        <f ca="1">IF(AND('Mapa final'!$H$16="Baja",'Mapa final'!$L$16="Moderado"),CONCATENATE("R",'Mapa final'!$A$16),"")</f>
        <v/>
      </c>
      <c r="Y30" s="369"/>
      <c r="Z30" s="369" t="str">
        <f ca="1">IF(AND('Mapa final'!$H$22="Baja",'Mapa final'!$L$22="Moderado"),CONCATENATE("R",'Mapa final'!$A$22),"")</f>
        <v/>
      </c>
      <c r="AA30" s="370"/>
      <c r="AB30" s="344" t="str">
        <f ca="1">IF(AND('Mapa final'!$H$10="Baja",'Mapa final'!$L$10="Mayor"),CONCATENATE("R",'Mapa final'!$A$10),"")</f>
        <v/>
      </c>
      <c r="AC30" s="345"/>
      <c r="AD30" s="345" t="str">
        <f ca="1">IF(AND('Mapa final'!$H$16="Baja",'Mapa final'!$L$16="Mayor"),CONCATENATE("R",'Mapa final'!$A$16),"")</f>
        <v/>
      </c>
      <c r="AE30" s="345"/>
      <c r="AF30" s="345" t="str">
        <f ca="1">IF(AND('Mapa final'!$H$22="Baja",'Mapa final'!$L$22="Mayor"),CONCATENATE("R",'Mapa final'!$A$22),"")</f>
        <v/>
      </c>
      <c r="AG30" s="347"/>
      <c r="AH30" s="359" t="str">
        <f ca="1">IF(AND('Mapa final'!$H$10="Baja",'Mapa final'!$L$10="Catastrófico"),CONCATENATE("R",'Mapa final'!$A$10),"")</f>
        <v/>
      </c>
      <c r="AI30" s="360"/>
      <c r="AJ30" s="360" t="str">
        <f ca="1">IF(AND('Mapa final'!$H$16="Baja",'Mapa final'!$L$16="Catastrófico"),CONCATENATE("R",'Mapa final'!$A$16),"")</f>
        <v/>
      </c>
      <c r="AK30" s="360"/>
      <c r="AL30" s="360" t="str">
        <f ca="1">IF(AND('Mapa final'!$H$22="Baja",'Mapa final'!$L$22="Catastrófico"),CONCATENATE("R",'Mapa final'!$A$22),"")</f>
        <v/>
      </c>
      <c r="AM30" s="361"/>
      <c r="AN30" s="82"/>
      <c r="AO30" s="324" t="s">
        <v>81</v>
      </c>
      <c r="AP30" s="325"/>
      <c r="AQ30" s="325"/>
      <c r="AR30" s="325"/>
      <c r="AS30" s="325"/>
      <c r="AT30" s="32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95"/>
      <c r="C31" s="295"/>
      <c r="D31" s="296"/>
      <c r="E31" s="336"/>
      <c r="F31" s="337"/>
      <c r="G31" s="337"/>
      <c r="H31" s="337"/>
      <c r="I31" s="337"/>
      <c r="J31" s="373"/>
      <c r="K31" s="371"/>
      <c r="L31" s="371"/>
      <c r="M31" s="371"/>
      <c r="N31" s="371"/>
      <c r="O31" s="372"/>
      <c r="P31" s="363"/>
      <c r="Q31" s="363"/>
      <c r="R31" s="363"/>
      <c r="S31" s="363"/>
      <c r="T31" s="363"/>
      <c r="U31" s="364"/>
      <c r="V31" s="362"/>
      <c r="W31" s="363"/>
      <c r="X31" s="363"/>
      <c r="Y31" s="363"/>
      <c r="Z31" s="363"/>
      <c r="AA31" s="364"/>
      <c r="AB31" s="346"/>
      <c r="AC31" s="342"/>
      <c r="AD31" s="342"/>
      <c r="AE31" s="342"/>
      <c r="AF31" s="342"/>
      <c r="AG31" s="343"/>
      <c r="AH31" s="353"/>
      <c r="AI31" s="354"/>
      <c r="AJ31" s="354"/>
      <c r="AK31" s="354"/>
      <c r="AL31" s="354"/>
      <c r="AM31" s="355"/>
      <c r="AN31" s="82"/>
      <c r="AO31" s="327"/>
      <c r="AP31" s="328"/>
      <c r="AQ31" s="328"/>
      <c r="AR31" s="328"/>
      <c r="AS31" s="328"/>
      <c r="AT31" s="32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95"/>
      <c r="C32" s="295"/>
      <c r="D32" s="296"/>
      <c r="E32" s="336"/>
      <c r="F32" s="337"/>
      <c r="G32" s="337"/>
      <c r="H32" s="337"/>
      <c r="I32" s="337"/>
      <c r="J32" s="373" t="str">
        <f ca="1">IF(AND('Mapa final'!$H$28="Baja",'Mapa final'!$L$28="Leve"),CONCATENATE("R",'Mapa final'!$A$28),"")</f>
        <v/>
      </c>
      <c r="K32" s="371"/>
      <c r="L32" s="371" t="str">
        <f ca="1">IF(AND('Mapa final'!$H$34="Baja",'Mapa final'!$L$34="Leve"),CONCATENATE("R",'Mapa final'!$A$34),"")</f>
        <v/>
      </c>
      <c r="M32" s="371"/>
      <c r="N32" s="371" t="str">
        <f>IF(AND('Mapa final'!$H$37="Baja",'Mapa final'!$L$37="Leve"),CONCATENATE("R",'Mapa final'!$A$37),"")</f>
        <v/>
      </c>
      <c r="O32" s="372"/>
      <c r="P32" s="363" t="str">
        <f ca="1">IF(AND('Mapa final'!$H$28="Baja",'Mapa final'!$L$28="Menor"),CONCATENATE("R",'Mapa final'!$A$28),"")</f>
        <v/>
      </c>
      <c r="Q32" s="363"/>
      <c r="R32" s="363" t="str">
        <f ca="1">IF(AND('Mapa final'!$H$34="Baja",'Mapa final'!$L$34="Menor"),CONCATENATE("R",'Mapa final'!$A$34),"")</f>
        <v/>
      </c>
      <c r="S32" s="363"/>
      <c r="T32" s="363" t="str">
        <f>IF(AND('Mapa final'!$H$37="Baja",'Mapa final'!$L$37="Menor"),CONCATENATE("R",'Mapa final'!$A$37),"")</f>
        <v/>
      </c>
      <c r="U32" s="364"/>
      <c r="V32" s="362" t="str">
        <f ca="1">IF(AND('Mapa final'!$H$28="Baja",'Mapa final'!$L$28="Moderado"),CONCATENATE("R",'Mapa final'!$A$28),"")</f>
        <v/>
      </c>
      <c r="W32" s="363"/>
      <c r="X32" s="363" t="str">
        <f ca="1">IF(AND('Mapa final'!$H$34="Baja",'Mapa final'!$L$34="Moderado"),CONCATENATE("R",'Mapa final'!$A$34),"")</f>
        <v/>
      </c>
      <c r="Y32" s="363"/>
      <c r="Z32" s="363" t="str">
        <f>IF(AND('Mapa final'!$H$37="Baja",'Mapa final'!$L$37="Moderado"),CONCATENATE("R",'Mapa final'!$A$37),"")</f>
        <v/>
      </c>
      <c r="AA32" s="364"/>
      <c r="AB32" s="346" t="str">
        <f ca="1">IF(AND('Mapa final'!$H$28="Baja",'Mapa final'!$L$28="Mayor"),CONCATENATE("R",'Mapa final'!$A$28),"")</f>
        <v/>
      </c>
      <c r="AC32" s="342"/>
      <c r="AD32" s="342" t="str">
        <f ca="1">IF(AND('Mapa final'!$H$34="Baja",'Mapa final'!$L$34="Mayor"),CONCATENATE("R",'Mapa final'!$A$34),"")</f>
        <v/>
      </c>
      <c r="AE32" s="342"/>
      <c r="AF32" s="342" t="str">
        <f>IF(AND('Mapa final'!$H$37="Baja",'Mapa final'!$L$37="Mayor"),CONCATENATE("R",'Mapa final'!$A$37),"")</f>
        <v/>
      </c>
      <c r="AG32" s="343"/>
      <c r="AH32" s="353" t="str">
        <f ca="1">IF(AND('Mapa final'!$H$28="Baja",'Mapa final'!$L$28="Catastrófico"),CONCATENATE("R",'Mapa final'!$A$28),"")</f>
        <v/>
      </c>
      <c r="AI32" s="354"/>
      <c r="AJ32" s="354" t="str">
        <f ca="1">IF(AND('Mapa final'!$H$34="Baja",'Mapa final'!$L$34="Catastrófico"),CONCATENATE("R",'Mapa final'!$A$34),"")</f>
        <v/>
      </c>
      <c r="AK32" s="354"/>
      <c r="AL32" s="354" t="str">
        <f>IF(AND('Mapa final'!$H$37="Baja",'Mapa final'!$L$37="Catastrófico"),CONCATENATE("R",'Mapa final'!$A$37),"")</f>
        <v/>
      </c>
      <c r="AM32" s="355"/>
      <c r="AN32" s="82"/>
      <c r="AO32" s="327"/>
      <c r="AP32" s="328"/>
      <c r="AQ32" s="328"/>
      <c r="AR32" s="328"/>
      <c r="AS32" s="328"/>
      <c r="AT32" s="32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95"/>
      <c r="C33" s="295"/>
      <c r="D33" s="296"/>
      <c r="E33" s="336"/>
      <c r="F33" s="337"/>
      <c r="G33" s="337"/>
      <c r="H33" s="337"/>
      <c r="I33" s="337"/>
      <c r="J33" s="373"/>
      <c r="K33" s="371"/>
      <c r="L33" s="371"/>
      <c r="M33" s="371"/>
      <c r="N33" s="371"/>
      <c r="O33" s="372"/>
      <c r="P33" s="363"/>
      <c r="Q33" s="363"/>
      <c r="R33" s="363"/>
      <c r="S33" s="363"/>
      <c r="T33" s="363"/>
      <c r="U33" s="364"/>
      <c r="V33" s="362"/>
      <c r="W33" s="363"/>
      <c r="X33" s="363"/>
      <c r="Y33" s="363"/>
      <c r="Z33" s="363"/>
      <c r="AA33" s="364"/>
      <c r="AB33" s="346"/>
      <c r="AC33" s="342"/>
      <c r="AD33" s="342"/>
      <c r="AE33" s="342"/>
      <c r="AF33" s="342"/>
      <c r="AG33" s="343"/>
      <c r="AH33" s="353"/>
      <c r="AI33" s="354"/>
      <c r="AJ33" s="354"/>
      <c r="AK33" s="354"/>
      <c r="AL33" s="354"/>
      <c r="AM33" s="355"/>
      <c r="AN33" s="82"/>
      <c r="AO33" s="327"/>
      <c r="AP33" s="328"/>
      <c r="AQ33" s="328"/>
      <c r="AR33" s="328"/>
      <c r="AS33" s="328"/>
      <c r="AT33" s="32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95"/>
      <c r="C34" s="295"/>
      <c r="D34" s="296"/>
      <c r="E34" s="336"/>
      <c r="F34" s="337"/>
      <c r="G34" s="337"/>
      <c r="H34" s="337"/>
      <c r="I34" s="337"/>
      <c r="J34" s="373" t="str">
        <f>IF(AND('Mapa final'!$H$43="Baja",'Mapa final'!$L$43="Leve"),CONCATENATE("R",'Mapa final'!$A$43),"")</f>
        <v/>
      </c>
      <c r="K34" s="371"/>
      <c r="L34" s="371" t="str">
        <f>IF(AND('Mapa final'!$H$49="Baja",'Mapa final'!$L$49="Leve"),CONCATENATE("R",'Mapa final'!$A$49),"")</f>
        <v/>
      </c>
      <c r="M34" s="371"/>
      <c r="N34" s="371" t="str">
        <f>IF(AND('Mapa final'!$H$55="Baja",'Mapa final'!$L$55="Leve"),CONCATENATE("R",'Mapa final'!$A$55),"")</f>
        <v/>
      </c>
      <c r="O34" s="372"/>
      <c r="P34" s="363" t="str">
        <f>IF(AND('Mapa final'!$H$43="Baja",'Mapa final'!$L$43="Menor"),CONCATENATE("R",'Mapa final'!$A$43),"")</f>
        <v/>
      </c>
      <c r="Q34" s="363"/>
      <c r="R34" s="363" t="str">
        <f>IF(AND('Mapa final'!$H$49="Baja",'Mapa final'!$L$49="Menor"),CONCATENATE("R",'Mapa final'!$A$49),"")</f>
        <v/>
      </c>
      <c r="S34" s="363"/>
      <c r="T34" s="363" t="str">
        <f>IF(AND('Mapa final'!$H$55="Baja",'Mapa final'!$L$55="Menor"),CONCATENATE("R",'Mapa final'!$A$55),"")</f>
        <v/>
      </c>
      <c r="U34" s="364"/>
      <c r="V34" s="362" t="str">
        <f>IF(AND('Mapa final'!$H$43="Baja",'Mapa final'!$L$43="Moderado"),CONCATENATE("R",'Mapa final'!$A$43),"")</f>
        <v/>
      </c>
      <c r="W34" s="363"/>
      <c r="X34" s="363" t="str">
        <f>IF(AND('Mapa final'!$H$49="Baja",'Mapa final'!$L$49="Moderado"),CONCATENATE("R",'Mapa final'!$A$49),"")</f>
        <v/>
      </c>
      <c r="Y34" s="363"/>
      <c r="Z34" s="363" t="str">
        <f>IF(AND('Mapa final'!$H$55="Baja",'Mapa final'!$L$55="Moderado"),CONCATENATE("R",'Mapa final'!$A$55),"")</f>
        <v/>
      </c>
      <c r="AA34" s="364"/>
      <c r="AB34" s="346" t="str">
        <f>IF(AND('Mapa final'!$H$43="Baja",'Mapa final'!$L$43="Mayor"),CONCATENATE("R",'Mapa final'!$A$43),"")</f>
        <v/>
      </c>
      <c r="AC34" s="342"/>
      <c r="AD34" s="342" t="str">
        <f>IF(AND('Mapa final'!$H$49="Baja",'Mapa final'!$L$49="Mayor"),CONCATENATE("R",'Mapa final'!$A$49),"")</f>
        <v/>
      </c>
      <c r="AE34" s="342"/>
      <c r="AF34" s="342" t="str">
        <f>IF(AND('Mapa final'!$H$55="Baja",'Mapa final'!$L$55="Mayor"),CONCATENATE("R",'Mapa final'!$A$55),"")</f>
        <v/>
      </c>
      <c r="AG34" s="343"/>
      <c r="AH34" s="353" t="str">
        <f>IF(AND('Mapa final'!$H$43="Baja",'Mapa final'!$L$43="Catastrófico"),CONCATENATE("R",'Mapa final'!$A$43),"")</f>
        <v/>
      </c>
      <c r="AI34" s="354"/>
      <c r="AJ34" s="354" t="str">
        <f>IF(AND('Mapa final'!$H$49="Baja",'Mapa final'!$L$49="Catastrófico"),CONCATENATE("R",'Mapa final'!$A$49),"")</f>
        <v/>
      </c>
      <c r="AK34" s="354"/>
      <c r="AL34" s="354" t="str">
        <f>IF(AND('Mapa final'!$H$55="Baja",'Mapa final'!$L$55="Catastrófico"),CONCATENATE("R",'Mapa final'!$A$55),"")</f>
        <v/>
      </c>
      <c r="AM34" s="355"/>
      <c r="AN34" s="82"/>
      <c r="AO34" s="327"/>
      <c r="AP34" s="328"/>
      <c r="AQ34" s="328"/>
      <c r="AR34" s="328"/>
      <c r="AS34" s="328"/>
      <c r="AT34" s="32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95"/>
      <c r="C35" s="295"/>
      <c r="D35" s="296"/>
      <c r="E35" s="336"/>
      <c r="F35" s="337"/>
      <c r="G35" s="337"/>
      <c r="H35" s="337"/>
      <c r="I35" s="337"/>
      <c r="J35" s="373"/>
      <c r="K35" s="371"/>
      <c r="L35" s="371"/>
      <c r="M35" s="371"/>
      <c r="N35" s="371"/>
      <c r="O35" s="372"/>
      <c r="P35" s="363"/>
      <c r="Q35" s="363"/>
      <c r="R35" s="363"/>
      <c r="S35" s="363"/>
      <c r="T35" s="363"/>
      <c r="U35" s="364"/>
      <c r="V35" s="362"/>
      <c r="W35" s="363"/>
      <c r="X35" s="363"/>
      <c r="Y35" s="363"/>
      <c r="Z35" s="363"/>
      <c r="AA35" s="364"/>
      <c r="AB35" s="346"/>
      <c r="AC35" s="342"/>
      <c r="AD35" s="342"/>
      <c r="AE35" s="342"/>
      <c r="AF35" s="342"/>
      <c r="AG35" s="343"/>
      <c r="AH35" s="353"/>
      <c r="AI35" s="354"/>
      <c r="AJ35" s="354"/>
      <c r="AK35" s="354"/>
      <c r="AL35" s="354"/>
      <c r="AM35" s="355"/>
      <c r="AN35" s="82"/>
      <c r="AO35" s="327"/>
      <c r="AP35" s="328"/>
      <c r="AQ35" s="328"/>
      <c r="AR35" s="328"/>
      <c r="AS35" s="328"/>
      <c r="AT35" s="32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95"/>
      <c r="C36" s="295"/>
      <c r="D36" s="296"/>
      <c r="E36" s="336"/>
      <c r="F36" s="337"/>
      <c r="G36" s="337"/>
      <c r="H36" s="337"/>
      <c r="I36" s="337"/>
      <c r="J36" s="373" t="str">
        <f ca="1">IF(AND('Mapa final'!$H$61="Baja",'Mapa final'!$L$61="Leve"),CONCATENATE("R",'Mapa final'!$A$61),"")</f>
        <v/>
      </c>
      <c r="K36" s="371"/>
      <c r="L36" s="371" t="str">
        <f>IF(AND('Mapa final'!$H$67="Baja",'Mapa final'!$L$67="Leve"),CONCATENATE("R",'Mapa final'!$A$67),"")</f>
        <v/>
      </c>
      <c r="M36" s="371"/>
      <c r="N36" s="371" t="str">
        <f>IF(AND('Mapa final'!$H$73="Baja",'Mapa final'!$L$73="Leve"),CONCATENATE("R",'Mapa final'!$A$73),"")</f>
        <v/>
      </c>
      <c r="O36" s="372"/>
      <c r="P36" s="363" t="str">
        <f ca="1">IF(AND('Mapa final'!$H$61="Baja",'Mapa final'!$L$61="Menor"),CONCATENATE("R",'Mapa final'!$A$61),"")</f>
        <v/>
      </c>
      <c r="Q36" s="363"/>
      <c r="R36" s="363" t="str">
        <f>IF(AND('Mapa final'!$H$67="Baja",'Mapa final'!$L$67="Menor"),CONCATENATE("R",'Mapa final'!$A$67),"")</f>
        <v/>
      </c>
      <c r="S36" s="363"/>
      <c r="T36" s="363" t="str">
        <f>IF(AND('Mapa final'!$H$73="Baja",'Mapa final'!$L$73="Menor"),CONCATENATE("R",'Mapa final'!$A$73),"")</f>
        <v/>
      </c>
      <c r="U36" s="364"/>
      <c r="V36" s="362" t="str">
        <f ca="1">IF(AND('Mapa final'!$H$61="Baja",'Mapa final'!$L$61="Moderado"),CONCATENATE("R",'Mapa final'!$A$61),"")</f>
        <v/>
      </c>
      <c r="W36" s="363"/>
      <c r="X36" s="363" t="str">
        <f>IF(AND('Mapa final'!$H$67="Baja",'Mapa final'!$L$67="Moderado"),CONCATENATE("R",'Mapa final'!$A$67),"")</f>
        <v/>
      </c>
      <c r="Y36" s="363"/>
      <c r="Z36" s="363" t="str">
        <f>IF(AND('Mapa final'!$H$73="Baja",'Mapa final'!$L$73="Moderado"),CONCATENATE("R",'Mapa final'!$A$73),"")</f>
        <v/>
      </c>
      <c r="AA36" s="364"/>
      <c r="AB36" s="346" t="str">
        <f ca="1">IF(AND('Mapa final'!$H$61="Baja",'Mapa final'!$L$61="Mayor"),CONCATENATE("R",'Mapa final'!$A$61),"")</f>
        <v/>
      </c>
      <c r="AC36" s="342"/>
      <c r="AD36" s="342" t="str">
        <f>IF(AND('Mapa final'!$H$67="Baja",'Mapa final'!$L$67="Mayor"),CONCATENATE("R",'Mapa final'!$A$67),"")</f>
        <v/>
      </c>
      <c r="AE36" s="342"/>
      <c r="AF36" s="342" t="str">
        <f>IF(AND('Mapa final'!$H$73="Baja",'Mapa final'!$L$73="Mayor"),CONCATENATE("R",'Mapa final'!$A$73),"")</f>
        <v/>
      </c>
      <c r="AG36" s="343"/>
      <c r="AH36" s="353" t="str">
        <f ca="1">IF(AND('Mapa final'!$H$61="Baja",'Mapa final'!$L$61="Catastrófico"),CONCATENATE("R",'Mapa final'!$A$61),"")</f>
        <v/>
      </c>
      <c r="AI36" s="354"/>
      <c r="AJ36" s="354" t="str">
        <f>IF(AND('Mapa final'!$H$67="Baja",'Mapa final'!$L$67="Catastrófico"),CONCATENATE("R",'Mapa final'!$A$67),"")</f>
        <v/>
      </c>
      <c r="AK36" s="354"/>
      <c r="AL36" s="354" t="str">
        <f>IF(AND('Mapa final'!$H$73="Baja",'Mapa final'!$L$73="Catastrófico"),CONCATENATE("R",'Mapa final'!$A$73),"")</f>
        <v/>
      </c>
      <c r="AM36" s="355"/>
      <c r="AN36" s="82"/>
      <c r="AO36" s="327"/>
      <c r="AP36" s="328"/>
      <c r="AQ36" s="328"/>
      <c r="AR36" s="328"/>
      <c r="AS36" s="328"/>
      <c r="AT36" s="32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95"/>
      <c r="C37" s="295"/>
      <c r="D37" s="296"/>
      <c r="E37" s="339"/>
      <c r="F37" s="340"/>
      <c r="G37" s="340"/>
      <c r="H37" s="340"/>
      <c r="I37" s="340"/>
      <c r="J37" s="374"/>
      <c r="K37" s="375"/>
      <c r="L37" s="375"/>
      <c r="M37" s="375"/>
      <c r="N37" s="375"/>
      <c r="O37" s="376"/>
      <c r="P37" s="366"/>
      <c r="Q37" s="366"/>
      <c r="R37" s="366"/>
      <c r="S37" s="366"/>
      <c r="T37" s="366"/>
      <c r="U37" s="367"/>
      <c r="V37" s="365"/>
      <c r="W37" s="366"/>
      <c r="X37" s="366"/>
      <c r="Y37" s="366"/>
      <c r="Z37" s="366"/>
      <c r="AA37" s="367"/>
      <c r="AB37" s="350"/>
      <c r="AC37" s="351"/>
      <c r="AD37" s="351"/>
      <c r="AE37" s="351"/>
      <c r="AF37" s="351"/>
      <c r="AG37" s="352"/>
      <c r="AH37" s="356"/>
      <c r="AI37" s="357"/>
      <c r="AJ37" s="357"/>
      <c r="AK37" s="357"/>
      <c r="AL37" s="357"/>
      <c r="AM37" s="358"/>
      <c r="AN37" s="82"/>
      <c r="AO37" s="330"/>
      <c r="AP37" s="331"/>
      <c r="AQ37" s="331"/>
      <c r="AR37" s="331"/>
      <c r="AS37" s="331"/>
      <c r="AT37" s="33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95"/>
      <c r="C38" s="295"/>
      <c r="D38" s="296"/>
      <c r="E38" s="333" t="s">
        <v>112</v>
      </c>
      <c r="F38" s="334"/>
      <c r="G38" s="334"/>
      <c r="H38" s="334"/>
      <c r="I38" s="335"/>
      <c r="J38" s="377" t="str">
        <f ca="1">IF(AND('Mapa final'!$H$10="Muy Baja",'Mapa final'!$L$10="Leve"),CONCATENATE("R",'Mapa final'!$A$10),"")</f>
        <v/>
      </c>
      <c r="K38" s="378"/>
      <c r="L38" s="378" t="str">
        <f ca="1">IF(AND('Mapa final'!$H$16="Muy Baja",'Mapa final'!$L$16="Leve"),CONCATENATE("R",'Mapa final'!$A$16),"")</f>
        <v/>
      </c>
      <c r="M38" s="378"/>
      <c r="N38" s="378" t="str">
        <f ca="1">IF(AND('Mapa final'!$H$22="Muy Baja",'Mapa final'!$L$22="Leve"),CONCATENATE("R",'Mapa final'!$A$22),"")</f>
        <v/>
      </c>
      <c r="O38" s="379"/>
      <c r="P38" s="377" t="str">
        <f ca="1">IF(AND('Mapa final'!$H$10="Muy Baja",'Mapa final'!$L$10="Menor"),CONCATENATE("R",'Mapa final'!$A$10),"")</f>
        <v/>
      </c>
      <c r="Q38" s="378"/>
      <c r="R38" s="378" t="str">
        <f ca="1">IF(AND('Mapa final'!$H$16="Muy Baja",'Mapa final'!$L$16="Menor"),CONCATENATE("R",'Mapa final'!$A$16),"")</f>
        <v/>
      </c>
      <c r="S38" s="378"/>
      <c r="T38" s="378" t="str">
        <f ca="1">IF(AND('Mapa final'!$H$22="Muy Baja",'Mapa final'!$L$22="Menor"),CONCATENATE("R",'Mapa final'!$A$22),"")</f>
        <v/>
      </c>
      <c r="U38" s="379"/>
      <c r="V38" s="368" t="str">
        <f ca="1">IF(AND('Mapa final'!$H$10="Muy Baja",'Mapa final'!$L$10="Moderado"),CONCATENATE("R",'Mapa final'!$A$10),"")</f>
        <v/>
      </c>
      <c r="W38" s="369"/>
      <c r="X38" s="369" t="str">
        <f ca="1">IF(AND('Mapa final'!$H$16="Muy Baja",'Mapa final'!$L$16="Moderado"),CONCATENATE("R",'Mapa final'!$A$16),"")</f>
        <v/>
      </c>
      <c r="Y38" s="369"/>
      <c r="Z38" s="369" t="str">
        <f ca="1">IF(AND('Mapa final'!$H$22="Muy Baja",'Mapa final'!$L$22="Moderado"),CONCATENATE("R",'Mapa final'!$A$22),"")</f>
        <v/>
      </c>
      <c r="AA38" s="370"/>
      <c r="AB38" s="344" t="str">
        <f ca="1">IF(AND('Mapa final'!$H$10="Muy Baja",'Mapa final'!$L$10="Mayor"),CONCATENATE("R",'Mapa final'!$A$10),"")</f>
        <v/>
      </c>
      <c r="AC38" s="345"/>
      <c r="AD38" s="345" t="str">
        <f ca="1">IF(AND('Mapa final'!$H$16="Muy Baja",'Mapa final'!$L$16="Mayor"),CONCATENATE("R",'Mapa final'!$A$16),"")</f>
        <v/>
      </c>
      <c r="AE38" s="345"/>
      <c r="AF38" s="345" t="str">
        <f ca="1">IF(AND('Mapa final'!$H$22="Muy Baja",'Mapa final'!$L$22="Mayor"),CONCATENATE("R",'Mapa final'!$A$22),"")</f>
        <v/>
      </c>
      <c r="AG38" s="347"/>
      <c r="AH38" s="359" t="str">
        <f ca="1">IF(AND('Mapa final'!$H$10="Muy Baja",'Mapa final'!$L$10="Catastrófico"),CONCATENATE("R",'Mapa final'!$A$10),"")</f>
        <v/>
      </c>
      <c r="AI38" s="360"/>
      <c r="AJ38" s="360" t="str">
        <f ca="1">IF(AND('Mapa final'!$H$16="Muy Baja",'Mapa final'!$L$16="Catastrófico"),CONCATENATE("R",'Mapa final'!$A$16),"")</f>
        <v/>
      </c>
      <c r="AK38" s="360"/>
      <c r="AL38" s="360" t="str">
        <f ca="1">IF(AND('Mapa final'!$H$22="Muy Baja",'Mapa final'!$L$22="Catastrófico"),CONCATENATE("R",'Mapa final'!$A$22),"")</f>
        <v/>
      </c>
      <c r="AM38" s="36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95"/>
      <c r="C39" s="295"/>
      <c r="D39" s="296"/>
      <c r="E39" s="336"/>
      <c r="F39" s="337"/>
      <c r="G39" s="337"/>
      <c r="H39" s="337"/>
      <c r="I39" s="338"/>
      <c r="J39" s="373"/>
      <c r="K39" s="371"/>
      <c r="L39" s="371"/>
      <c r="M39" s="371"/>
      <c r="N39" s="371"/>
      <c r="O39" s="372"/>
      <c r="P39" s="373"/>
      <c r="Q39" s="371"/>
      <c r="R39" s="371"/>
      <c r="S39" s="371"/>
      <c r="T39" s="371"/>
      <c r="U39" s="372"/>
      <c r="V39" s="362"/>
      <c r="W39" s="363"/>
      <c r="X39" s="363"/>
      <c r="Y39" s="363"/>
      <c r="Z39" s="363"/>
      <c r="AA39" s="364"/>
      <c r="AB39" s="346"/>
      <c r="AC39" s="342"/>
      <c r="AD39" s="342"/>
      <c r="AE39" s="342"/>
      <c r="AF39" s="342"/>
      <c r="AG39" s="343"/>
      <c r="AH39" s="353"/>
      <c r="AI39" s="354"/>
      <c r="AJ39" s="354"/>
      <c r="AK39" s="354"/>
      <c r="AL39" s="354"/>
      <c r="AM39" s="35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95"/>
      <c r="C40" s="295"/>
      <c r="D40" s="296"/>
      <c r="E40" s="336"/>
      <c r="F40" s="337"/>
      <c r="G40" s="337"/>
      <c r="H40" s="337"/>
      <c r="I40" s="338"/>
      <c r="J40" s="373" t="str">
        <f ca="1">IF(AND('Mapa final'!$H$28="Muy Baja",'Mapa final'!$L$28="Leve"),CONCATENATE("R",'Mapa final'!$A$28),"")</f>
        <v/>
      </c>
      <c r="K40" s="371"/>
      <c r="L40" s="371" t="str">
        <f ca="1">IF(AND('Mapa final'!$H$34="Muy Baja",'Mapa final'!$L$34="Leve"),CONCATENATE("R",'Mapa final'!$A$34),"")</f>
        <v/>
      </c>
      <c r="M40" s="371"/>
      <c r="N40" s="371" t="str">
        <f>IF(AND('Mapa final'!$H$37="Muy Baja",'Mapa final'!$L$37="Leve"),CONCATENATE("R",'Mapa final'!$A$37),"")</f>
        <v/>
      </c>
      <c r="O40" s="372"/>
      <c r="P40" s="373" t="str">
        <f ca="1">IF(AND('Mapa final'!$H$28="Muy Baja",'Mapa final'!$L$28="Menor"),CONCATENATE("R",'Mapa final'!$A$28),"")</f>
        <v/>
      </c>
      <c r="Q40" s="371"/>
      <c r="R40" s="371" t="str">
        <f ca="1">IF(AND('Mapa final'!$H$34="Muy Baja",'Mapa final'!$L$34="Menor"),CONCATENATE("R",'Mapa final'!$A$34),"")</f>
        <v/>
      </c>
      <c r="S40" s="371"/>
      <c r="T40" s="371" t="str">
        <f>IF(AND('Mapa final'!$H$37="Muy Baja",'Mapa final'!$L$37="Menor"),CONCATENATE("R",'Mapa final'!$A$37),"")</f>
        <v/>
      </c>
      <c r="U40" s="372"/>
      <c r="V40" s="362" t="str">
        <f ca="1">IF(AND('Mapa final'!$H$28="Muy Baja",'Mapa final'!$L$28="Moderado"),CONCATENATE("R",'Mapa final'!$A$28),"")</f>
        <v/>
      </c>
      <c r="W40" s="363"/>
      <c r="X40" s="363" t="str">
        <f ca="1">IF(AND('Mapa final'!$H$34="Muy Baja",'Mapa final'!$L$34="Moderado"),CONCATENATE("R",'Mapa final'!$A$34),"")</f>
        <v/>
      </c>
      <c r="Y40" s="363"/>
      <c r="Z40" s="363" t="str">
        <f>IF(AND('Mapa final'!$H$37="Muy Baja",'Mapa final'!$L$37="Moderado"),CONCATENATE("R",'Mapa final'!$A$37),"")</f>
        <v/>
      </c>
      <c r="AA40" s="364"/>
      <c r="AB40" s="346" t="str">
        <f ca="1">IF(AND('Mapa final'!$H$28="Muy Baja",'Mapa final'!$L$28="Mayor"),CONCATENATE("R",'Mapa final'!$A$28),"")</f>
        <v/>
      </c>
      <c r="AC40" s="342"/>
      <c r="AD40" s="342" t="str">
        <f ca="1">IF(AND('Mapa final'!$H$34="Muy Baja",'Mapa final'!$L$34="Mayor"),CONCATENATE("R",'Mapa final'!$A$34),"")</f>
        <v/>
      </c>
      <c r="AE40" s="342"/>
      <c r="AF40" s="342" t="str">
        <f>IF(AND('Mapa final'!$H$37="Muy Baja",'Mapa final'!$L$37="Mayor"),CONCATENATE("R",'Mapa final'!$A$37),"")</f>
        <v/>
      </c>
      <c r="AG40" s="343"/>
      <c r="AH40" s="353" t="str">
        <f ca="1">IF(AND('Mapa final'!$H$28="Muy Baja",'Mapa final'!$L$28="Catastrófico"),CONCATENATE("R",'Mapa final'!$A$28),"")</f>
        <v/>
      </c>
      <c r="AI40" s="354"/>
      <c r="AJ40" s="354" t="str">
        <f ca="1">IF(AND('Mapa final'!$H$34="Muy Baja",'Mapa final'!$L$34="Catastrófico"),CONCATENATE("R",'Mapa final'!$A$34),"")</f>
        <v/>
      </c>
      <c r="AK40" s="354"/>
      <c r="AL40" s="354" t="str">
        <f>IF(AND('Mapa final'!$H$37="Muy Baja",'Mapa final'!$L$37="Catastrófico"),CONCATENATE("R",'Mapa final'!$A$37),"")</f>
        <v/>
      </c>
      <c r="AM40" s="35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95"/>
      <c r="C41" s="295"/>
      <c r="D41" s="296"/>
      <c r="E41" s="336"/>
      <c r="F41" s="337"/>
      <c r="G41" s="337"/>
      <c r="H41" s="337"/>
      <c r="I41" s="338"/>
      <c r="J41" s="373"/>
      <c r="K41" s="371"/>
      <c r="L41" s="371"/>
      <c r="M41" s="371"/>
      <c r="N41" s="371"/>
      <c r="O41" s="372"/>
      <c r="P41" s="373"/>
      <c r="Q41" s="371"/>
      <c r="R41" s="371"/>
      <c r="S41" s="371"/>
      <c r="T41" s="371"/>
      <c r="U41" s="372"/>
      <c r="V41" s="362"/>
      <c r="W41" s="363"/>
      <c r="X41" s="363"/>
      <c r="Y41" s="363"/>
      <c r="Z41" s="363"/>
      <c r="AA41" s="364"/>
      <c r="AB41" s="346"/>
      <c r="AC41" s="342"/>
      <c r="AD41" s="342"/>
      <c r="AE41" s="342"/>
      <c r="AF41" s="342"/>
      <c r="AG41" s="343"/>
      <c r="AH41" s="353"/>
      <c r="AI41" s="354"/>
      <c r="AJ41" s="354"/>
      <c r="AK41" s="354"/>
      <c r="AL41" s="354"/>
      <c r="AM41" s="35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95"/>
      <c r="C42" s="295"/>
      <c r="D42" s="296"/>
      <c r="E42" s="336"/>
      <c r="F42" s="337"/>
      <c r="G42" s="337"/>
      <c r="H42" s="337"/>
      <c r="I42" s="338"/>
      <c r="J42" s="373" t="str">
        <f>IF(AND('Mapa final'!$H$43="Muy Baja",'Mapa final'!$L$43="Leve"),CONCATENATE("R",'Mapa final'!$A$43),"")</f>
        <v/>
      </c>
      <c r="K42" s="371"/>
      <c r="L42" s="371" t="str">
        <f>IF(AND('Mapa final'!$H$49="Muy Baja",'Mapa final'!$L$49="Leve"),CONCATENATE("R",'Mapa final'!$A$49),"")</f>
        <v/>
      </c>
      <c r="M42" s="371"/>
      <c r="N42" s="371" t="str">
        <f>IF(AND('Mapa final'!$H$55="Muy Baja",'Mapa final'!$L$55="Leve"),CONCATENATE("R",'Mapa final'!$A$55),"")</f>
        <v/>
      </c>
      <c r="O42" s="372"/>
      <c r="P42" s="373" t="str">
        <f>IF(AND('Mapa final'!$H$43="Muy Baja",'Mapa final'!$L$43="Menor"),CONCATENATE("R",'Mapa final'!$A$43),"")</f>
        <v/>
      </c>
      <c r="Q42" s="371"/>
      <c r="R42" s="371" t="str">
        <f>IF(AND('Mapa final'!$H$49="Muy Baja",'Mapa final'!$L$49="Menor"),CONCATENATE("R",'Mapa final'!$A$49),"")</f>
        <v/>
      </c>
      <c r="S42" s="371"/>
      <c r="T42" s="371" t="str">
        <f>IF(AND('Mapa final'!$H$55="Muy Baja",'Mapa final'!$L$55="Menor"),CONCATENATE("R",'Mapa final'!$A$55),"")</f>
        <v/>
      </c>
      <c r="U42" s="372"/>
      <c r="V42" s="362" t="str">
        <f>IF(AND('Mapa final'!$H$43="Muy Baja",'Mapa final'!$L$43="Moderado"),CONCATENATE("R",'Mapa final'!$A$43),"")</f>
        <v/>
      </c>
      <c r="W42" s="363"/>
      <c r="X42" s="363" t="str">
        <f>IF(AND('Mapa final'!$H$49="Muy Baja",'Mapa final'!$L$49="Moderado"),CONCATENATE("R",'Mapa final'!$A$49),"")</f>
        <v/>
      </c>
      <c r="Y42" s="363"/>
      <c r="Z42" s="363" t="str">
        <f>IF(AND('Mapa final'!$H$55="Muy Baja",'Mapa final'!$L$55="Moderado"),CONCATENATE("R",'Mapa final'!$A$55),"")</f>
        <v/>
      </c>
      <c r="AA42" s="364"/>
      <c r="AB42" s="346" t="str">
        <f>IF(AND('Mapa final'!$H$43="Muy Baja",'Mapa final'!$L$43="Mayor"),CONCATENATE("R",'Mapa final'!$A$43),"")</f>
        <v/>
      </c>
      <c r="AC42" s="342"/>
      <c r="AD42" s="342" t="str">
        <f>IF(AND('Mapa final'!$H$49="Muy Baja",'Mapa final'!$L$49="Mayor"),CONCATENATE("R",'Mapa final'!$A$49),"")</f>
        <v/>
      </c>
      <c r="AE42" s="342"/>
      <c r="AF42" s="342" t="str">
        <f>IF(AND('Mapa final'!$H$55="Muy Baja",'Mapa final'!$L$55="Mayor"),CONCATENATE("R",'Mapa final'!$A$55),"")</f>
        <v/>
      </c>
      <c r="AG42" s="343"/>
      <c r="AH42" s="353" t="str">
        <f>IF(AND('Mapa final'!$H$43="Muy Baja",'Mapa final'!$L$43="Catastrófico"),CONCATENATE("R",'Mapa final'!$A$43),"")</f>
        <v/>
      </c>
      <c r="AI42" s="354"/>
      <c r="AJ42" s="354" t="str">
        <f>IF(AND('Mapa final'!$H$49="Muy Baja",'Mapa final'!$L$49="Catastrófico"),CONCATENATE("R",'Mapa final'!$A$49),"")</f>
        <v/>
      </c>
      <c r="AK42" s="354"/>
      <c r="AL42" s="354" t="str">
        <f>IF(AND('Mapa final'!$H$55="Muy Baja",'Mapa final'!$L$55="Catastrófico"),CONCATENATE("R",'Mapa final'!$A$55),"")</f>
        <v/>
      </c>
      <c r="AM42" s="35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95"/>
      <c r="C43" s="295"/>
      <c r="D43" s="296"/>
      <c r="E43" s="336"/>
      <c r="F43" s="337"/>
      <c r="G43" s="337"/>
      <c r="H43" s="337"/>
      <c r="I43" s="338"/>
      <c r="J43" s="373"/>
      <c r="K43" s="371"/>
      <c r="L43" s="371"/>
      <c r="M43" s="371"/>
      <c r="N43" s="371"/>
      <c r="O43" s="372"/>
      <c r="P43" s="373"/>
      <c r="Q43" s="371"/>
      <c r="R43" s="371"/>
      <c r="S43" s="371"/>
      <c r="T43" s="371"/>
      <c r="U43" s="372"/>
      <c r="V43" s="362"/>
      <c r="W43" s="363"/>
      <c r="X43" s="363"/>
      <c r="Y43" s="363"/>
      <c r="Z43" s="363"/>
      <c r="AA43" s="364"/>
      <c r="AB43" s="346"/>
      <c r="AC43" s="342"/>
      <c r="AD43" s="342"/>
      <c r="AE43" s="342"/>
      <c r="AF43" s="342"/>
      <c r="AG43" s="343"/>
      <c r="AH43" s="353"/>
      <c r="AI43" s="354"/>
      <c r="AJ43" s="354"/>
      <c r="AK43" s="354"/>
      <c r="AL43" s="354"/>
      <c r="AM43" s="35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95"/>
      <c r="C44" s="295"/>
      <c r="D44" s="296"/>
      <c r="E44" s="336"/>
      <c r="F44" s="337"/>
      <c r="G44" s="337"/>
      <c r="H44" s="337"/>
      <c r="I44" s="338"/>
      <c r="J44" s="373" t="str">
        <f ca="1">IF(AND('Mapa final'!$H$61="Muy Baja",'Mapa final'!$L$61="Leve"),CONCATENATE("R",'Mapa final'!$A$61),"")</f>
        <v/>
      </c>
      <c r="K44" s="371"/>
      <c r="L44" s="371" t="str">
        <f>IF(AND('Mapa final'!$H$67="Muy Baja",'Mapa final'!$L$67="Leve"),CONCATENATE("R",'Mapa final'!$A$67),"")</f>
        <v/>
      </c>
      <c r="M44" s="371"/>
      <c r="N44" s="371" t="str">
        <f>IF(AND('Mapa final'!$H$73="Muy Baja",'Mapa final'!$L$73="Leve"),CONCATENATE("R",'Mapa final'!$A$73),"")</f>
        <v/>
      </c>
      <c r="O44" s="372"/>
      <c r="P44" s="373" t="str">
        <f ca="1">IF(AND('Mapa final'!$H$61="Muy Baja",'Mapa final'!$L$61="Menor"),CONCATENATE("R",'Mapa final'!$A$61),"")</f>
        <v/>
      </c>
      <c r="Q44" s="371"/>
      <c r="R44" s="371" t="str">
        <f>IF(AND('Mapa final'!$H$67="Muy Baja",'Mapa final'!$L$67="Menor"),CONCATENATE("R",'Mapa final'!$A$67),"")</f>
        <v/>
      </c>
      <c r="S44" s="371"/>
      <c r="T44" s="371" t="str">
        <f>IF(AND('Mapa final'!$H$73="Muy Baja",'Mapa final'!$L$73="Menor"),CONCATENATE("R",'Mapa final'!$A$73),"")</f>
        <v/>
      </c>
      <c r="U44" s="372"/>
      <c r="V44" s="362" t="str">
        <f ca="1">IF(AND('Mapa final'!$H$61="Muy Baja",'Mapa final'!$L$61="Moderado"),CONCATENATE("R",'Mapa final'!$A$61),"")</f>
        <v/>
      </c>
      <c r="W44" s="363"/>
      <c r="X44" s="363" t="str">
        <f>IF(AND('Mapa final'!$H$67="Muy Baja",'Mapa final'!$L$67="Moderado"),CONCATENATE("R",'Mapa final'!$A$67),"")</f>
        <v/>
      </c>
      <c r="Y44" s="363"/>
      <c r="Z44" s="363" t="str">
        <f>IF(AND('Mapa final'!$H$73="Muy Baja",'Mapa final'!$L$73="Moderado"),CONCATENATE("R",'Mapa final'!$A$73),"")</f>
        <v/>
      </c>
      <c r="AA44" s="364"/>
      <c r="AB44" s="346" t="str">
        <f ca="1">IF(AND('Mapa final'!$H$61="Muy Baja",'Mapa final'!$L$61="Mayor"),CONCATENATE("R",'Mapa final'!$A$61),"")</f>
        <v/>
      </c>
      <c r="AC44" s="342"/>
      <c r="AD44" s="342" t="str">
        <f>IF(AND('Mapa final'!$H$67="Muy Baja",'Mapa final'!$L$67="Mayor"),CONCATENATE("R",'Mapa final'!$A$67),"")</f>
        <v/>
      </c>
      <c r="AE44" s="342"/>
      <c r="AF44" s="342" t="str">
        <f>IF(AND('Mapa final'!$H$73="Muy Baja",'Mapa final'!$L$73="Mayor"),CONCATENATE("R",'Mapa final'!$A$73),"")</f>
        <v/>
      </c>
      <c r="AG44" s="343"/>
      <c r="AH44" s="353" t="str">
        <f ca="1">IF(AND('Mapa final'!$H$61="Muy Baja",'Mapa final'!$L$61="Catastrófico"),CONCATENATE("R",'Mapa final'!$A$61),"")</f>
        <v/>
      </c>
      <c r="AI44" s="354"/>
      <c r="AJ44" s="354" t="str">
        <f>IF(AND('Mapa final'!$H$67="Muy Baja",'Mapa final'!$L$67="Catastrófico"),CONCATENATE("R",'Mapa final'!$A$67),"")</f>
        <v/>
      </c>
      <c r="AK44" s="354"/>
      <c r="AL44" s="354" t="str">
        <f>IF(AND('Mapa final'!$H$73="Muy Baja",'Mapa final'!$L$73="Catastrófico"),CONCATENATE("R",'Mapa final'!$A$73),"")</f>
        <v/>
      </c>
      <c r="AM44" s="35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95"/>
      <c r="C45" s="295"/>
      <c r="D45" s="296"/>
      <c r="E45" s="339"/>
      <c r="F45" s="340"/>
      <c r="G45" s="340"/>
      <c r="H45" s="340"/>
      <c r="I45" s="341"/>
      <c r="J45" s="374"/>
      <c r="K45" s="375"/>
      <c r="L45" s="375"/>
      <c r="M45" s="375"/>
      <c r="N45" s="375"/>
      <c r="O45" s="376"/>
      <c r="P45" s="374"/>
      <c r="Q45" s="375"/>
      <c r="R45" s="375"/>
      <c r="S45" s="375"/>
      <c r="T45" s="375"/>
      <c r="U45" s="376"/>
      <c r="V45" s="365"/>
      <c r="W45" s="366"/>
      <c r="X45" s="366"/>
      <c r="Y45" s="366"/>
      <c r="Z45" s="366"/>
      <c r="AA45" s="367"/>
      <c r="AB45" s="350"/>
      <c r="AC45" s="351"/>
      <c r="AD45" s="351"/>
      <c r="AE45" s="351"/>
      <c r="AF45" s="351"/>
      <c r="AG45" s="352"/>
      <c r="AH45" s="356"/>
      <c r="AI45" s="357"/>
      <c r="AJ45" s="357"/>
      <c r="AK45" s="357"/>
      <c r="AL45" s="357"/>
      <c r="AM45" s="35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33" t="s">
        <v>111</v>
      </c>
      <c r="K46" s="334"/>
      <c r="L46" s="334"/>
      <c r="M46" s="334"/>
      <c r="N46" s="334"/>
      <c r="O46" s="335"/>
      <c r="P46" s="333" t="s">
        <v>110</v>
      </c>
      <c r="Q46" s="334"/>
      <c r="R46" s="334"/>
      <c r="S46" s="334"/>
      <c r="T46" s="334"/>
      <c r="U46" s="335"/>
      <c r="V46" s="333" t="s">
        <v>109</v>
      </c>
      <c r="W46" s="334"/>
      <c r="X46" s="334"/>
      <c r="Y46" s="334"/>
      <c r="Z46" s="334"/>
      <c r="AA46" s="335"/>
      <c r="AB46" s="333" t="s">
        <v>108</v>
      </c>
      <c r="AC46" s="349"/>
      <c r="AD46" s="334"/>
      <c r="AE46" s="334"/>
      <c r="AF46" s="334"/>
      <c r="AG46" s="335"/>
      <c r="AH46" s="333" t="s">
        <v>107</v>
      </c>
      <c r="AI46" s="334"/>
      <c r="AJ46" s="334"/>
      <c r="AK46" s="334"/>
      <c r="AL46" s="334"/>
      <c r="AM46" s="335"/>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36"/>
      <c r="K47" s="337"/>
      <c r="L47" s="337"/>
      <c r="M47" s="337"/>
      <c r="N47" s="337"/>
      <c r="O47" s="338"/>
      <c r="P47" s="336"/>
      <c r="Q47" s="337"/>
      <c r="R47" s="337"/>
      <c r="S47" s="337"/>
      <c r="T47" s="337"/>
      <c r="U47" s="338"/>
      <c r="V47" s="336"/>
      <c r="W47" s="337"/>
      <c r="X47" s="337"/>
      <c r="Y47" s="337"/>
      <c r="Z47" s="337"/>
      <c r="AA47" s="338"/>
      <c r="AB47" s="336"/>
      <c r="AC47" s="337"/>
      <c r="AD47" s="337"/>
      <c r="AE47" s="337"/>
      <c r="AF47" s="337"/>
      <c r="AG47" s="338"/>
      <c r="AH47" s="336"/>
      <c r="AI47" s="337"/>
      <c r="AJ47" s="337"/>
      <c r="AK47" s="337"/>
      <c r="AL47" s="337"/>
      <c r="AM47" s="338"/>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36"/>
      <c r="K48" s="337"/>
      <c r="L48" s="337"/>
      <c r="M48" s="337"/>
      <c r="N48" s="337"/>
      <c r="O48" s="338"/>
      <c r="P48" s="336"/>
      <c r="Q48" s="337"/>
      <c r="R48" s="337"/>
      <c r="S48" s="337"/>
      <c r="T48" s="337"/>
      <c r="U48" s="338"/>
      <c r="V48" s="336"/>
      <c r="W48" s="337"/>
      <c r="X48" s="337"/>
      <c r="Y48" s="337"/>
      <c r="Z48" s="337"/>
      <c r="AA48" s="338"/>
      <c r="AB48" s="336"/>
      <c r="AC48" s="337"/>
      <c r="AD48" s="337"/>
      <c r="AE48" s="337"/>
      <c r="AF48" s="337"/>
      <c r="AG48" s="338"/>
      <c r="AH48" s="336"/>
      <c r="AI48" s="337"/>
      <c r="AJ48" s="337"/>
      <c r="AK48" s="337"/>
      <c r="AL48" s="337"/>
      <c r="AM48" s="338"/>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36"/>
      <c r="K49" s="337"/>
      <c r="L49" s="337"/>
      <c r="M49" s="337"/>
      <c r="N49" s="337"/>
      <c r="O49" s="338"/>
      <c r="P49" s="336"/>
      <c r="Q49" s="337"/>
      <c r="R49" s="337"/>
      <c r="S49" s="337"/>
      <c r="T49" s="337"/>
      <c r="U49" s="338"/>
      <c r="V49" s="336"/>
      <c r="W49" s="337"/>
      <c r="X49" s="337"/>
      <c r="Y49" s="337"/>
      <c r="Z49" s="337"/>
      <c r="AA49" s="338"/>
      <c r="AB49" s="336"/>
      <c r="AC49" s="337"/>
      <c r="AD49" s="337"/>
      <c r="AE49" s="337"/>
      <c r="AF49" s="337"/>
      <c r="AG49" s="338"/>
      <c r="AH49" s="336"/>
      <c r="AI49" s="337"/>
      <c r="AJ49" s="337"/>
      <c r="AK49" s="337"/>
      <c r="AL49" s="337"/>
      <c r="AM49" s="338"/>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36"/>
      <c r="K50" s="337"/>
      <c r="L50" s="337"/>
      <c r="M50" s="337"/>
      <c r="N50" s="337"/>
      <c r="O50" s="338"/>
      <c r="P50" s="336"/>
      <c r="Q50" s="337"/>
      <c r="R50" s="337"/>
      <c r="S50" s="337"/>
      <c r="T50" s="337"/>
      <c r="U50" s="338"/>
      <c r="V50" s="336"/>
      <c r="W50" s="337"/>
      <c r="X50" s="337"/>
      <c r="Y50" s="337"/>
      <c r="Z50" s="337"/>
      <c r="AA50" s="338"/>
      <c r="AB50" s="336"/>
      <c r="AC50" s="337"/>
      <c r="AD50" s="337"/>
      <c r="AE50" s="337"/>
      <c r="AF50" s="337"/>
      <c r="AG50" s="338"/>
      <c r="AH50" s="336"/>
      <c r="AI50" s="337"/>
      <c r="AJ50" s="337"/>
      <c r="AK50" s="337"/>
      <c r="AL50" s="337"/>
      <c r="AM50" s="338"/>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39"/>
      <c r="K51" s="340"/>
      <c r="L51" s="340"/>
      <c r="M51" s="340"/>
      <c r="N51" s="340"/>
      <c r="O51" s="341"/>
      <c r="P51" s="339"/>
      <c r="Q51" s="340"/>
      <c r="R51" s="340"/>
      <c r="S51" s="340"/>
      <c r="T51" s="340"/>
      <c r="U51" s="341"/>
      <c r="V51" s="339"/>
      <c r="W51" s="340"/>
      <c r="X51" s="340"/>
      <c r="Y51" s="340"/>
      <c r="Z51" s="340"/>
      <c r="AA51" s="341"/>
      <c r="AB51" s="339"/>
      <c r="AC51" s="340"/>
      <c r="AD51" s="340"/>
      <c r="AE51" s="340"/>
      <c r="AF51" s="340"/>
      <c r="AG51" s="341"/>
      <c r="AH51" s="339"/>
      <c r="AI51" s="340"/>
      <c r="AJ51" s="340"/>
      <c r="AK51" s="340"/>
      <c r="AL51" s="340"/>
      <c r="AM51" s="34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41" zoomScaleNormal="100" workbookViewId="0">
      <selection activeCell="L10" sqref="L10"/>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406" t="s">
        <v>158</v>
      </c>
      <c r="C2" s="407"/>
      <c r="D2" s="407"/>
      <c r="E2" s="407"/>
      <c r="F2" s="407"/>
      <c r="G2" s="407"/>
      <c r="H2" s="407"/>
      <c r="I2" s="407"/>
      <c r="J2" s="348" t="s">
        <v>2</v>
      </c>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407"/>
      <c r="C3" s="407"/>
      <c r="D3" s="407"/>
      <c r="E3" s="407"/>
      <c r="F3" s="407"/>
      <c r="G3" s="407"/>
      <c r="H3" s="407"/>
      <c r="I3" s="407"/>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407"/>
      <c r="C4" s="407"/>
      <c r="D4" s="407"/>
      <c r="E4" s="407"/>
      <c r="F4" s="407"/>
      <c r="G4" s="407"/>
      <c r="H4" s="407"/>
      <c r="I4" s="407"/>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95" t="s">
        <v>4</v>
      </c>
      <c r="C6" s="295"/>
      <c r="D6" s="296"/>
      <c r="E6" s="390" t="s">
        <v>115</v>
      </c>
      <c r="F6" s="391"/>
      <c r="G6" s="391"/>
      <c r="H6" s="391"/>
      <c r="I6" s="408"/>
      <c r="J6" s="45" t="str">
        <f ca="1">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 ca="1">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 ca="1">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 ca="1">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 ca="1">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97" t="s">
        <v>78</v>
      </c>
      <c r="AP6" s="398"/>
      <c r="AQ6" s="398"/>
      <c r="AR6" s="398"/>
      <c r="AS6" s="398"/>
      <c r="AT6" s="39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95"/>
      <c r="C7" s="295"/>
      <c r="D7" s="296"/>
      <c r="E7" s="394"/>
      <c r="F7" s="393"/>
      <c r="G7" s="393"/>
      <c r="H7" s="393"/>
      <c r="I7" s="409"/>
      <c r="J7" s="51" t="str">
        <f ca="1">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 ca="1">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 ca="1">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 ca="1">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 ca="1">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400"/>
      <c r="AP7" s="401"/>
      <c r="AQ7" s="401"/>
      <c r="AR7" s="401"/>
      <c r="AS7" s="401"/>
      <c r="AT7" s="40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95"/>
      <c r="C8" s="295"/>
      <c r="D8" s="296"/>
      <c r="E8" s="394"/>
      <c r="F8" s="393"/>
      <c r="G8" s="393"/>
      <c r="H8" s="393"/>
      <c r="I8" s="409"/>
      <c r="J8" s="51" t="str">
        <f ca="1">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 ca="1">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 ca="1">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 ca="1">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 ca="1">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400"/>
      <c r="AP8" s="401"/>
      <c r="AQ8" s="401"/>
      <c r="AR8" s="401"/>
      <c r="AS8" s="401"/>
      <c r="AT8" s="40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95"/>
      <c r="C9" s="295"/>
      <c r="D9" s="296"/>
      <c r="E9" s="394"/>
      <c r="F9" s="393"/>
      <c r="G9" s="393"/>
      <c r="H9" s="393"/>
      <c r="I9" s="409"/>
      <c r="J9" s="51" t="str">
        <f ca="1">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 ca="1">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 ca="1">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 ca="1">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 ca="1">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400"/>
      <c r="AP9" s="401"/>
      <c r="AQ9" s="401"/>
      <c r="AR9" s="401"/>
      <c r="AS9" s="401"/>
      <c r="AT9" s="40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95"/>
      <c r="C10" s="295"/>
      <c r="D10" s="296"/>
      <c r="E10" s="394"/>
      <c r="F10" s="393"/>
      <c r="G10" s="393"/>
      <c r="H10" s="393"/>
      <c r="I10" s="409"/>
      <c r="J10" s="51" t="str">
        <f ca="1">IF(AND('Mapa final'!$Y$34="Muy Alta",'Mapa final'!$AA$34="Leve"),CONCATENATE("R5C",'Mapa final'!$O$34),"")</f>
        <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str">
        <f>IF(AND('Mapa final'!$Y$35="Muy Alta",'Mapa final'!$AA$35="Leve"),CONCATENATE("R5C",'Mapa final'!$O$35),"")</f>
        <v/>
      </c>
      <c r="O10" s="53" t="str">
        <f>IF(AND('Mapa final'!$Y$36="Muy Alta",'Mapa final'!$AA$36="Leve"),CONCATENATE("R5C",'Mapa final'!$O$36),"")</f>
        <v/>
      </c>
      <c r="P10" s="51" t="str">
        <f ca="1">IF(AND('Mapa final'!$Y$34="Muy Alta",'Mapa final'!$AA$34="Menor"),CONCATENATE("R5C",'Mapa final'!$O$34),"")</f>
        <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str">
        <f>IF(AND('Mapa final'!$Y$35="Muy Alta",'Mapa final'!$AA$35="Menor"),CONCATENATE("R5C",'Mapa final'!$O$35),"")</f>
        <v/>
      </c>
      <c r="U10" s="53" t="str">
        <f>IF(AND('Mapa final'!$Y$36="Muy Alta",'Mapa final'!$AA$36="Menor"),CONCATENATE("R5C",'Mapa final'!$O$36),"")</f>
        <v/>
      </c>
      <c r="V10" s="51" t="str">
        <f ca="1">IF(AND('Mapa final'!$Y$34="Muy Alta",'Mapa final'!$AA$34="Moderado"),CONCATENATE("R5C",'Mapa final'!$O$34),"")</f>
        <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str">
        <f>IF(AND('Mapa final'!$Y$35="Muy Alta",'Mapa final'!$AA$35="Moderado"),CONCATENATE("R5C",'Mapa final'!$O$35),"")</f>
        <v/>
      </c>
      <c r="AA10" s="53" t="str">
        <f>IF(AND('Mapa final'!$Y$36="Muy Alta",'Mapa final'!$AA$36="Moderado"),CONCATENATE("R5C",'Mapa final'!$O$36),"")</f>
        <v/>
      </c>
      <c r="AB10" s="51" t="str">
        <f ca="1">IF(AND('Mapa final'!$Y$34="Muy Alta",'Mapa final'!$AA$34="Mayor"),CONCATENATE("R5C",'Mapa final'!$O$34),"")</f>
        <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str">
        <f>IF(AND('Mapa final'!$Y$35="Muy Alta",'Mapa final'!$AA$35="Mayor"),CONCATENATE("R5C",'Mapa final'!$O$35),"")</f>
        <v/>
      </c>
      <c r="AG10" s="53" t="str">
        <f>IF(AND('Mapa final'!$Y$36="Muy Alta",'Mapa final'!$AA$36="Mayor"),CONCATENATE("R5C",'Mapa final'!$O$36),"")</f>
        <v/>
      </c>
      <c r="AH10" s="54" t="str">
        <f ca="1">IF(AND('Mapa final'!$Y$34="Muy Alta",'Mapa final'!$AA$34="Catastrófico"),CONCATENATE("R5C",'Mapa final'!$O$34),"")</f>
        <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str">
        <f>IF(AND('Mapa final'!$Y$35="Muy Alta",'Mapa final'!$AA$35="Catastrófico"),CONCATENATE("R5C",'Mapa final'!$O$35),"")</f>
        <v/>
      </c>
      <c r="AM10" s="56" t="str">
        <f>IF(AND('Mapa final'!$Y$36="Muy Alta",'Mapa final'!$AA$36="Catastrófico"),CONCATENATE("R5C",'Mapa final'!$O$36),"")</f>
        <v/>
      </c>
      <c r="AN10" s="82"/>
      <c r="AO10" s="400"/>
      <c r="AP10" s="401"/>
      <c r="AQ10" s="401"/>
      <c r="AR10" s="401"/>
      <c r="AS10" s="401"/>
      <c r="AT10" s="40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95"/>
      <c r="C11" s="295"/>
      <c r="D11" s="296"/>
      <c r="E11" s="394"/>
      <c r="F11" s="393"/>
      <c r="G11" s="393"/>
      <c r="H11" s="393"/>
      <c r="I11" s="409"/>
      <c r="J11" s="51" t="str">
        <f>IF(AND('Mapa final'!$Y$37="Muy Alta",'Mapa final'!$AA$37="Leve"),CONCATENATE("R6C",'Mapa final'!$O$37),"")</f>
        <v/>
      </c>
      <c r="K11" s="52" t="str">
        <f>IF(AND('Mapa final'!$Y$38="Muy Alta",'Mapa final'!$AA$38="Leve"),CONCATENATE("R6C",'Mapa final'!$O$38),"")</f>
        <v/>
      </c>
      <c r="L11" s="52" t="str">
        <f>IF(AND('Mapa final'!$Y$39="Muy Alta",'Mapa final'!$AA$39="Leve"),CONCATENATE("R6C",'Mapa final'!$O$39),"")</f>
        <v/>
      </c>
      <c r="M11" s="52" t="str">
        <f>IF(AND('Mapa final'!$Y$40="Muy Alta",'Mapa final'!$AA$40="Leve"),CONCATENATE("R6C",'Mapa final'!$O$40),"")</f>
        <v/>
      </c>
      <c r="N11" s="52" t="str">
        <f>IF(AND('Mapa final'!$Y$41="Muy Alta",'Mapa final'!$AA$41="Leve"),CONCATENATE("R6C",'Mapa final'!$O$41),"")</f>
        <v/>
      </c>
      <c r="O11" s="53" t="str">
        <f>IF(AND('Mapa final'!$Y$42="Muy Alta",'Mapa final'!$AA$42="Leve"),CONCATENATE("R6C",'Mapa final'!$O$42),"")</f>
        <v/>
      </c>
      <c r="P11" s="51" t="str">
        <f>IF(AND('Mapa final'!$Y$37="Muy Alta",'Mapa final'!$AA$37="Menor"),CONCATENATE("R6C",'Mapa final'!$O$37),"")</f>
        <v/>
      </c>
      <c r="Q11" s="52" t="str">
        <f>IF(AND('Mapa final'!$Y$38="Muy Alta",'Mapa final'!$AA$38="Menor"),CONCATENATE("R6C",'Mapa final'!$O$38),"")</f>
        <v/>
      </c>
      <c r="R11" s="52" t="str">
        <f>IF(AND('Mapa final'!$Y$39="Muy Alta",'Mapa final'!$AA$39="Menor"),CONCATENATE("R6C",'Mapa final'!$O$39),"")</f>
        <v/>
      </c>
      <c r="S11" s="52" t="str">
        <f>IF(AND('Mapa final'!$Y$40="Muy Alta",'Mapa final'!$AA$40="Menor"),CONCATENATE("R6C",'Mapa final'!$O$40),"")</f>
        <v/>
      </c>
      <c r="T11" s="52" t="str">
        <f>IF(AND('Mapa final'!$Y$41="Muy Alta",'Mapa final'!$AA$41="Menor"),CONCATENATE("R6C",'Mapa final'!$O$41),"")</f>
        <v/>
      </c>
      <c r="U11" s="53" t="str">
        <f>IF(AND('Mapa final'!$Y$42="Muy Alta",'Mapa final'!$AA$42="Menor"),CONCATENATE("R6C",'Mapa final'!$O$42),"")</f>
        <v/>
      </c>
      <c r="V11" s="51" t="str">
        <f>IF(AND('Mapa final'!$Y$37="Muy Alta",'Mapa final'!$AA$37="Moderado"),CONCATENATE("R6C",'Mapa final'!$O$37),"")</f>
        <v/>
      </c>
      <c r="W11" s="52" t="str">
        <f>IF(AND('Mapa final'!$Y$38="Muy Alta",'Mapa final'!$AA$38="Moderado"),CONCATENATE("R6C",'Mapa final'!$O$38),"")</f>
        <v/>
      </c>
      <c r="X11" s="52" t="str">
        <f>IF(AND('Mapa final'!$Y$39="Muy Alta",'Mapa final'!$AA$39="Moderado"),CONCATENATE("R6C",'Mapa final'!$O$39),"")</f>
        <v/>
      </c>
      <c r="Y11" s="52" t="str">
        <f>IF(AND('Mapa final'!$Y$40="Muy Alta",'Mapa final'!$AA$40="Moderado"),CONCATENATE("R6C",'Mapa final'!$O$40),"")</f>
        <v/>
      </c>
      <c r="Z11" s="52" t="str">
        <f>IF(AND('Mapa final'!$Y$41="Muy Alta",'Mapa final'!$AA$41="Moderado"),CONCATENATE("R6C",'Mapa final'!$O$41),"")</f>
        <v/>
      </c>
      <c r="AA11" s="53" t="str">
        <f>IF(AND('Mapa final'!$Y$42="Muy Alta",'Mapa final'!$AA$42="Moderado"),CONCATENATE("R6C",'Mapa final'!$O$42),"")</f>
        <v/>
      </c>
      <c r="AB11" s="51" t="str">
        <f>IF(AND('Mapa final'!$Y$37="Muy Alta",'Mapa final'!$AA$37="Mayor"),CONCATENATE("R6C",'Mapa final'!$O$37),"")</f>
        <v/>
      </c>
      <c r="AC11" s="52" t="str">
        <f>IF(AND('Mapa final'!$Y$38="Muy Alta",'Mapa final'!$AA$38="Mayor"),CONCATENATE("R6C",'Mapa final'!$O$38),"")</f>
        <v/>
      </c>
      <c r="AD11" s="52" t="str">
        <f>IF(AND('Mapa final'!$Y$39="Muy Alta",'Mapa final'!$AA$39="Mayor"),CONCATENATE("R6C",'Mapa final'!$O$39),"")</f>
        <v/>
      </c>
      <c r="AE11" s="52" t="str">
        <f>IF(AND('Mapa final'!$Y$40="Muy Alta",'Mapa final'!$AA$40="Mayor"),CONCATENATE("R6C",'Mapa final'!$O$40),"")</f>
        <v/>
      </c>
      <c r="AF11" s="52" t="str">
        <f>IF(AND('Mapa final'!$Y$41="Muy Alta",'Mapa final'!$AA$41="Mayor"),CONCATENATE("R6C",'Mapa final'!$O$41),"")</f>
        <v/>
      </c>
      <c r="AG11" s="53" t="str">
        <f>IF(AND('Mapa final'!$Y$42="Muy Alta",'Mapa final'!$AA$42="Mayor"),CONCATENATE("R6C",'Mapa final'!$O$42),"")</f>
        <v/>
      </c>
      <c r="AH11" s="54" t="str">
        <f>IF(AND('Mapa final'!$Y$37="Muy Alta",'Mapa final'!$AA$37="Catastrófico"),CONCATENATE("R6C",'Mapa final'!$O$37),"")</f>
        <v/>
      </c>
      <c r="AI11" s="55" t="str">
        <f>IF(AND('Mapa final'!$Y$38="Muy Alta",'Mapa final'!$AA$38="Catastrófico"),CONCATENATE("R6C",'Mapa final'!$O$38),"")</f>
        <v/>
      </c>
      <c r="AJ11" s="55" t="str">
        <f>IF(AND('Mapa final'!$Y$39="Muy Alta",'Mapa final'!$AA$39="Catastrófico"),CONCATENATE("R6C",'Mapa final'!$O$39),"")</f>
        <v/>
      </c>
      <c r="AK11" s="55" t="str">
        <f>IF(AND('Mapa final'!$Y$40="Muy Alta",'Mapa final'!$AA$40="Catastrófico"),CONCATENATE("R6C",'Mapa final'!$O$40),"")</f>
        <v/>
      </c>
      <c r="AL11" s="55" t="str">
        <f>IF(AND('Mapa final'!$Y$41="Muy Alta",'Mapa final'!$AA$41="Catastrófico"),CONCATENATE("R6C",'Mapa final'!$O$41),"")</f>
        <v/>
      </c>
      <c r="AM11" s="56" t="str">
        <f>IF(AND('Mapa final'!$Y$42="Muy Alta",'Mapa final'!$AA$42="Catastrófico"),CONCATENATE("R6C",'Mapa final'!$O$42),"")</f>
        <v/>
      </c>
      <c r="AN11" s="82"/>
      <c r="AO11" s="400"/>
      <c r="AP11" s="401"/>
      <c r="AQ11" s="401"/>
      <c r="AR11" s="401"/>
      <c r="AS11" s="401"/>
      <c r="AT11" s="40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95"/>
      <c r="C12" s="295"/>
      <c r="D12" s="296"/>
      <c r="E12" s="394"/>
      <c r="F12" s="393"/>
      <c r="G12" s="393"/>
      <c r="H12" s="393"/>
      <c r="I12" s="409"/>
      <c r="J12" s="51" t="str">
        <f>IF(AND('Mapa final'!$Y$43="Muy Alta",'Mapa final'!$AA$43="Leve"),CONCATENATE("R7C",'Mapa final'!$O$43),"")</f>
        <v/>
      </c>
      <c r="K12" s="52" t="str">
        <f>IF(AND('Mapa final'!$Y$44="Muy Alta",'Mapa final'!$AA$44="Leve"),CONCATENATE("R7C",'Mapa final'!$O$44),"")</f>
        <v/>
      </c>
      <c r="L12" s="52" t="str">
        <f>IF(AND('Mapa final'!$Y$45="Muy Alta",'Mapa final'!$AA$45="Leve"),CONCATENATE("R7C",'Mapa final'!$O$45),"")</f>
        <v/>
      </c>
      <c r="M12" s="52" t="str">
        <f>IF(AND('Mapa final'!$Y$46="Muy Alta",'Mapa final'!$AA$46="Leve"),CONCATENATE("R7C",'Mapa final'!$O$46),"")</f>
        <v/>
      </c>
      <c r="N12" s="52" t="str">
        <f>IF(AND('Mapa final'!$Y$47="Muy Alta",'Mapa final'!$AA$47="Leve"),CONCATENATE("R7C",'Mapa final'!$O$47),"")</f>
        <v/>
      </c>
      <c r="O12" s="53" t="str">
        <f>IF(AND('Mapa final'!$Y$48="Muy Alta",'Mapa final'!$AA$48="Leve"),CONCATENATE("R7C",'Mapa final'!$O$48),"")</f>
        <v/>
      </c>
      <c r="P12" s="51" t="str">
        <f>IF(AND('Mapa final'!$Y$43="Muy Alta",'Mapa final'!$AA$43="Menor"),CONCATENATE("R7C",'Mapa final'!$O$43),"")</f>
        <v/>
      </c>
      <c r="Q12" s="52" t="str">
        <f>IF(AND('Mapa final'!$Y$44="Muy Alta",'Mapa final'!$AA$44="Menor"),CONCATENATE("R7C",'Mapa final'!$O$44),"")</f>
        <v/>
      </c>
      <c r="R12" s="52" t="str">
        <f>IF(AND('Mapa final'!$Y$45="Muy Alta",'Mapa final'!$AA$45="Menor"),CONCATENATE("R7C",'Mapa final'!$O$45),"")</f>
        <v/>
      </c>
      <c r="S12" s="52" t="str">
        <f>IF(AND('Mapa final'!$Y$46="Muy Alta",'Mapa final'!$AA$46="Menor"),CONCATENATE("R7C",'Mapa final'!$O$46),"")</f>
        <v/>
      </c>
      <c r="T12" s="52" t="str">
        <f>IF(AND('Mapa final'!$Y$47="Muy Alta",'Mapa final'!$AA$47="Menor"),CONCATENATE("R7C",'Mapa final'!$O$47),"")</f>
        <v/>
      </c>
      <c r="U12" s="53" t="str">
        <f>IF(AND('Mapa final'!$Y$48="Muy Alta",'Mapa final'!$AA$48="Menor"),CONCATENATE("R7C",'Mapa final'!$O$48),"")</f>
        <v/>
      </c>
      <c r="V12" s="51" t="str">
        <f>IF(AND('Mapa final'!$Y$43="Muy Alta",'Mapa final'!$AA$43="Moderado"),CONCATENATE("R7C",'Mapa final'!$O$43),"")</f>
        <v/>
      </c>
      <c r="W12" s="52" t="str">
        <f>IF(AND('Mapa final'!$Y$44="Muy Alta",'Mapa final'!$AA$44="Moderado"),CONCATENATE("R7C",'Mapa final'!$O$44),"")</f>
        <v/>
      </c>
      <c r="X12" s="52" t="str">
        <f>IF(AND('Mapa final'!$Y$45="Muy Alta",'Mapa final'!$AA$45="Moderado"),CONCATENATE("R7C",'Mapa final'!$O$45),"")</f>
        <v/>
      </c>
      <c r="Y12" s="52" t="str">
        <f>IF(AND('Mapa final'!$Y$46="Muy Alta",'Mapa final'!$AA$46="Moderado"),CONCATENATE("R7C",'Mapa final'!$O$46),"")</f>
        <v/>
      </c>
      <c r="Z12" s="52" t="str">
        <f>IF(AND('Mapa final'!$Y$47="Muy Alta",'Mapa final'!$AA$47="Moderado"),CONCATENATE("R7C",'Mapa final'!$O$47),"")</f>
        <v/>
      </c>
      <c r="AA12" s="53" t="str">
        <f>IF(AND('Mapa final'!$Y$48="Muy Alta",'Mapa final'!$AA$48="Moderado"),CONCATENATE("R7C",'Mapa final'!$O$48),"")</f>
        <v/>
      </c>
      <c r="AB12" s="51" t="str">
        <f>IF(AND('Mapa final'!$Y$43="Muy Alta",'Mapa final'!$AA$43="Mayor"),CONCATENATE("R7C",'Mapa final'!$O$43),"")</f>
        <v/>
      </c>
      <c r="AC12" s="52" t="str">
        <f>IF(AND('Mapa final'!$Y$44="Muy Alta",'Mapa final'!$AA$44="Mayor"),CONCATENATE("R7C",'Mapa final'!$O$44),"")</f>
        <v/>
      </c>
      <c r="AD12" s="52" t="str">
        <f>IF(AND('Mapa final'!$Y$45="Muy Alta",'Mapa final'!$AA$45="Mayor"),CONCATENATE("R7C",'Mapa final'!$O$45),"")</f>
        <v/>
      </c>
      <c r="AE12" s="52" t="str">
        <f>IF(AND('Mapa final'!$Y$46="Muy Alta",'Mapa final'!$AA$46="Mayor"),CONCATENATE("R7C",'Mapa final'!$O$46),"")</f>
        <v/>
      </c>
      <c r="AF12" s="52" t="str">
        <f>IF(AND('Mapa final'!$Y$47="Muy Alta",'Mapa final'!$AA$47="Mayor"),CONCATENATE("R7C",'Mapa final'!$O$47),"")</f>
        <v/>
      </c>
      <c r="AG12" s="53" t="str">
        <f>IF(AND('Mapa final'!$Y$48="Muy Alta",'Mapa final'!$AA$48="Mayor"),CONCATENATE("R7C",'Mapa final'!$O$48),"")</f>
        <v/>
      </c>
      <c r="AH12" s="54" t="str">
        <f>IF(AND('Mapa final'!$Y$43="Muy Alta",'Mapa final'!$AA$43="Catastrófico"),CONCATENATE("R7C",'Mapa final'!$O$43),"")</f>
        <v/>
      </c>
      <c r="AI12" s="55" t="str">
        <f>IF(AND('Mapa final'!$Y$44="Muy Alta",'Mapa final'!$AA$44="Catastrófico"),CONCATENATE("R7C",'Mapa final'!$O$44),"")</f>
        <v/>
      </c>
      <c r="AJ12" s="55" t="str">
        <f>IF(AND('Mapa final'!$Y$45="Muy Alta",'Mapa final'!$AA$45="Catastrófico"),CONCATENATE("R7C",'Mapa final'!$O$45),"")</f>
        <v/>
      </c>
      <c r="AK12" s="55" t="str">
        <f>IF(AND('Mapa final'!$Y$46="Muy Alta",'Mapa final'!$AA$46="Catastrófico"),CONCATENATE("R7C",'Mapa final'!$O$46),"")</f>
        <v/>
      </c>
      <c r="AL12" s="55" t="str">
        <f>IF(AND('Mapa final'!$Y$47="Muy Alta",'Mapa final'!$AA$47="Catastrófico"),CONCATENATE("R7C",'Mapa final'!$O$47),"")</f>
        <v/>
      </c>
      <c r="AM12" s="56" t="str">
        <f>IF(AND('Mapa final'!$Y$48="Muy Alta",'Mapa final'!$AA$48="Catastrófico"),CONCATENATE("R7C",'Mapa final'!$O$48),"")</f>
        <v/>
      </c>
      <c r="AN12" s="82"/>
      <c r="AO12" s="400"/>
      <c r="AP12" s="401"/>
      <c r="AQ12" s="401"/>
      <c r="AR12" s="401"/>
      <c r="AS12" s="401"/>
      <c r="AT12" s="40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95"/>
      <c r="C13" s="295"/>
      <c r="D13" s="296"/>
      <c r="E13" s="394"/>
      <c r="F13" s="393"/>
      <c r="G13" s="393"/>
      <c r="H13" s="393"/>
      <c r="I13" s="409"/>
      <c r="J13" s="51" t="str">
        <f>IF(AND('Mapa final'!$Y$49="Muy Alta",'Mapa final'!$AA$49="Leve"),CONCATENATE("R8C",'Mapa final'!$O$49),"")</f>
        <v/>
      </c>
      <c r="K13" s="52" t="str">
        <f>IF(AND('Mapa final'!$Y$50="Muy Alta",'Mapa final'!$AA$50="Leve"),CONCATENATE("R8C",'Mapa final'!$O$50),"")</f>
        <v/>
      </c>
      <c r="L13" s="52" t="str">
        <f>IF(AND('Mapa final'!$Y$51="Muy Alta",'Mapa final'!$AA$51="Leve"),CONCATENATE("R8C",'Mapa final'!$O$51),"")</f>
        <v/>
      </c>
      <c r="M13" s="52" t="str">
        <f>IF(AND('Mapa final'!$Y$52="Muy Alta",'Mapa final'!$AA$52="Leve"),CONCATENATE("R8C",'Mapa final'!$O$52),"")</f>
        <v/>
      </c>
      <c r="N13" s="52" t="str">
        <f>IF(AND('Mapa final'!$Y$53="Muy Alta",'Mapa final'!$AA$53="Leve"),CONCATENATE("R8C",'Mapa final'!$O$53),"")</f>
        <v/>
      </c>
      <c r="O13" s="53" t="str">
        <f>IF(AND('Mapa final'!$Y$54="Muy Alta",'Mapa final'!$AA$54="Leve"),CONCATENATE("R8C",'Mapa final'!$O$54),"")</f>
        <v/>
      </c>
      <c r="P13" s="51" t="str">
        <f>IF(AND('Mapa final'!$Y$49="Muy Alta",'Mapa final'!$AA$49="Menor"),CONCATENATE("R8C",'Mapa final'!$O$49),"")</f>
        <v/>
      </c>
      <c r="Q13" s="52" t="str">
        <f>IF(AND('Mapa final'!$Y$50="Muy Alta",'Mapa final'!$AA$50="Menor"),CONCATENATE("R8C",'Mapa final'!$O$50),"")</f>
        <v/>
      </c>
      <c r="R13" s="52" t="str">
        <f>IF(AND('Mapa final'!$Y$51="Muy Alta",'Mapa final'!$AA$51="Menor"),CONCATENATE("R8C",'Mapa final'!$O$51),"")</f>
        <v/>
      </c>
      <c r="S13" s="52" t="str">
        <f>IF(AND('Mapa final'!$Y$52="Muy Alta",'Mapa final'!$AA$52="Menor"),CONCATENATE("R8C",'Mapa final'!$O$52),"")</f>
        <v/>
      </c>
      <c r="T13" s="52" t="str">
        <f>IF(AND('Mapa final'!$Y$53="Muy Alta",'Mapa final'!$AA$53="Menor"),CONCATENATE("R8C",'Mapa final'!$O$53),"")</f>
        <v/>
      </c>
      <c r="U13" s="53" t="str">
        <f>IF(AND('Mapa final'!$Y$54="Muy Alta",'Mapa final'!$AA$54="Menor"),CONCATENATE("R8C",'Mapa final'!$O$54),"")</f>
        <v/>
      </c>
      <c r="V13" s="51" t="str">
        <f>IF(AND('Mapa final'!$Y$49="Muy Alta",'Mapa final'!$AA$49="Moderado"),CONCATENATE("R8C",'Mapa final'!$O$49),"")</f>
        <v/>
      </c>
      <c r="W13" s="52" t="str">
        <f>IF(AND('Mapa final'!$Y$50="Muy Alta",'Mapa final'!$AA$50="Moderado"),CONCATENATE("R8C",'Mapa final'!$O$50),"")</f>
        <v/>
      </c>
      <c r="X13" s="52" t="str">
        <f>IF(AND('Mapa final'!$Y$51="Muy Alta",'Mapa final'!$AA$51="Moderado"),CONCATENATE("R8C",'Mapa final'!$O$51),"")</f>
        <v/>
      </c>
      <c r="Y13" s="52" t="str">
        <f>IF(AND('Mapa final'!$Y$52="Muy Alta",'Mapa final'!$AA$52="Moderado"),CONCATENATE("R8C",'Mapa final'!$O$52),"")</f>
        <v/>
      </c>
      <c r="Z13" s="52" t="str">
        <f>IF(AND('Mapa final'!$Y$53="Muy Alta",'Mapa final'!$AA$53="Moderado"),CONCATENATE("R8C",'Mapa final'!$O$53),"")</f>
        <v/>
      </c>
      <c r="AA13" s="53" t="str">
        <f>IF(AND('Mapa final'!$Y$54="Muy Alta",'Mapa final'!$AA$54="Moderado"),CONCATENATE("R8C",'Mapa final'!$O$54),"")</f>
        <v/>
      </c>
      <c r="AB13" s="51" t="str">
        <f>IF(AND('Mapa final'!$Y$49="Muy Alta",'Mapa final'!$AA$49="Mayor"),CONCATENATE("R8C",'Mapa final'!$O$49),"")</f>
        <v/>
      </c>
      <c r="AC13" s="52" t="str">
        <f>IF(AND('Mapa final'!$Y$50="Muy Alta",'Mapa final'!$AA$50="Mayor"),CONCATENATE("R8C",'Mapa final'!$O$50),"")</f>
        <v/>
      </c>
      <c r="AD13" s="52" t="str">
        <f>IF(AND('Mapa final'!$Y$51="Muy Alta",'Mapa final'!$AA$51="Mayor"),CONCATENATE("R8C",'Mapa final'!$O$51),"")</f>
        <v/>
      </c>
      <c r="AE13" s="52" t="str">
        <f>IF(AND('Mapa final'!$Y$52="Muy Alta",'Mapa final'!$AA$52="Mayor"),CONCATENATE("R8C",'Mapa final'!$O$52),"")</f>
        <v/>
      </c>
      <c r="AF13" s="52" t="str">
        <f>IF(AND('Mapa final'!$Y$53="Muy Alta",'Mapa final'!$AA$53="Mayor"),CONCATENATE("R8C",'Mapa final'!$O$53),"")</f>
        <v/>
      </c>
      <c r="AG13" s="53" t="str">
        <f>IF(AND('Mapa final'!$Y$54="Muy Alta",'Mapa final'!$AA$54="Mayor"),CONCATENATE("R8C",'Mapa final'!$O$54),"")</f>
        <v/>
      </c>
      <c r="AH13" s="54" t="str">
        <f>IF(AND('Mapa final'!$Y$49="Muy Alta",'Mapa final'!$AA$49="Catastrófico"),CONCATENATE("R8C",'Mapa final'!$O$49),"")</f>
        <v/>
      </c>
      <c r="AI13" s="55" t="str">
        <f>IF(AND('Mapa final'!$Y$50="Muy Alta",'Mapa final'!$AA$50="Catastrófico"),CONCATENATE("R8C",'Mapa final'!$O$50),"")</f>
        <v/>
      </c>
      <c r="AJ13" s="55" t="str">
        <f>IF(AND('Mapa final'!$Y$51="Muy Alta",'Mapa final'!$AA$51="Catastrófico"),CONCATENATE("R8C",'Mapa final'!$O$51),"")</f>
        <v/>
      </c>
      <c r="AK13" s="55" t="str">
        <f>IF(AND('Mapa final'!$Y$52="Muy Alta",'Mapa final'!$AA$52="Catastrófico"),CONCATENATE("R8C",'Mapa final'!$O$52),"")</f>
        <v/>
      </c>
      <c r="AL13" s="55" t="str">
        <f>IF(AND('Mapa final'!$Y$53="Muy Alta",'Mapa final'!$AA$53="Catastrófico"),CONCATENATE("R8C",'Mapa final'!$O$53),"")</f>
        <v/>
      </c>
      <c r="AM13" s="56" t="str">
        <f>IF(AND('Mapa final'!$Y$54="Muy Alta",'Mapa final'!$AA$54="Catastrófico"),CONCATENATE("R8C",'Mapa final'!$O$54),"")</f>
        <v/>
      </c>
      <c r="AN13" s="82"/>
      <c r="AO13" s="400"/>
      <c r="AP13" s="401"/>
      <c r="AQ13" s="401"/>
      <c r="AR13" s="401"/>
      <c r="AS13" s="401"/>
      <c r="AT13" s="40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95"/>
      <c r="C14" s="295"/>
      <c r="D14" s="296"/>
      <c r="E14" s="394"/>
      <c r="F14" s="393"/>
      <c r="G14" s="393"/>
      <c r="H14" s="393"/>
      <c r="I14" s="409"/>
      <c r="J14" s="51" t="str">
        <f>IF(AND('Mapa final'!$Y$55="Muy Alta",'Mapa final'!$AA$55="Leve"),CONCATENATE("R9C",'Mapa final'!$O$55),"")</f>
        <v/>
      </c>
      <c r="K14" s="52" t="str">
        <f>IF(AND('Mapa final'!$Y$56="Muy Alta",'Mapa final'!$AA$56="Leve"),CONCATENATE("R9C",'Mapa final'!$O$56),"")</f>
        <v/>
      </c>
      <c r="L14" s="52" t="str">
        <f>IF(AND('Mapa final'!$Y$57="Muy Alta",'Mapa final'!$AA$57="Leve"),CONCATENATE("R9C",'Mapa final'!$O$57),"")</f>
        <v/>
      </c>
      <c r="M14" s="52" t="str">
        <f>IF(AND('Mapa final'!$Y$58="Muy Alta",'Mapa final'!$AA$58="Leve"),CONCATENATE("R9C",'Mapa final'!$O$58),"")</f>
        <v/>
      </c>
      <c r="N14" s="52" t="str">
        <f>IF(AND('Mapa final'!$Y$59="Muy Alta",'Mapa final'!$AA$59="Leve"),CONCATENATE("R9C",'Mapa final'!$O$59),"")</f>
        <v/>
      </c>
      <c r="O14" s="53" t="str">
        <f>IF(AND('Mapa final'!$Y$60="Muy Alta",'Mapa final'!$AA$60="Leve"),CONCATENATE("R9C",'Mapa final'!$O$60),"")</f>
        <v/>
      </c>
      <c r="P14" s="51" t="str">
        <f>IF(AND('Mapa final'!$Y$55="Muy Alta",'Mapa final'!$AA$55="Menor"),CONCATENATE("R9C",'Mapa final'!$O$55),"")</f>
        <v/>
      </c>
      <c r="Q14" s="52" t="str">
        <f>IF(AND('Mapa final'!$Y$56="Muy Alta",'Mapa final'!$AA$56="Menor"),CONCATENATE("R9C",'Mapa final'!$O$56),"")</f>
        <v/>
      </c>
      <c r="R14" s="52" t="str">
        <f>IF(AND('Mapa final'!$Y$57="Muy Alta",'Mapa final'!$AA$57="Menor"),CONCATENATE("R9C",'Mapa final'!$O$57),"")</f>
        <v/>
      </c>
      <c r="S14" s="52" t="str">
        <f>IF(AND('Mapa final'!$Y$58="Muy Alta",'Mapa final'!$AA$58="Menor"),CONCATENATE("R9C",'Mapa final'!$O$58),"")</f>
        <v/>
      </c>
      <c r="T14" s="52" t="str">
        <f>IF(AND('Mapa final'!$Y$59="Muy Alta",'Mapa final'!$AA$59="Menor"),CONCATENATE("R9C",'Mapa final'!$O$59),"")</f>
        <v/>
      </c>
      <c r="U14" s="53" t="str">
        <f>IF(AND('Mapa final'!$Y$60="Muy Alta",'Mapa final'!$AA$60="Menor"),CONCATENATE("R9C",'Mapa final'!$O$60),"")</f>
        <v/>
      </c>
      <c r="V14" s="51" t="str">
        <f>IF(AND('Mapa final'!$Y$55="Muy Alta",'Mapa final'!$AA$55="Moderado"),CONCATENATE("R9C",'Mapa final'!$O$55),"")</f>
        <v/>
      </c>
      <c r="W14" s="52" t="str">
        <f>IF(AND('Mapa final'!$Y$56="Muy Alta",'Mapa final'!$AA$56="Moderado"),CONCATENATE("R9C",'Mapa final'!$O$56),"")</f>
        <v/>
      </c>
      <c r="X14" s="52" t="str">
        <f>IF(AND('Mapa final'!$Y$57="Muy Alta",'Mapa final'!$AA$57="Moderado"),CONCATENATE("R9C",'Mapa final'!$O$57),"")</f>
        <v/>
      </c>
      <c r="Y14" s="52" t="str">
        <f>IF(AND('Mapa final'!$Y$58="Muy Alta",'Mapa final'!$AA$58="Moderado"),CONCATENATE("R9C",'Mapa final'!$O$58),"")</f>
        <v/>
      </c>
      <c r="Z14" s="52" t="str">
        <f>IF(AND('Mapa final'!$Y$59="Muy Alta",'Mapa final'!$AA$59="Moderado"),CONCATENATE("R9C",'Mapa final'!$O$59),"")</f>
        <v/>
      </c>
      <c r="AA14" s="53" t="str">
        <f>IF(AND('Mapa final'!$Y$60="Muy Alta",'Mapa final'!$AA$60="Moderado"),CONCATENATE("R9C",'Mapa final'!$O$60),"")</f>
        <v/>
      </c>
      <c r="AB14" s="51" t="str">
        <f>IF(AND('Mapa final'!$Y$55="Muy Alta",'Mapa final'!$AA$55="Mayor"),CONCATENATE("R9C",'Mapa final'!$O$55),"")</f>
        <v/>
      </c>
      <c r="AC14" s="52" t="str">
        <f>IF(AND('Mapa final'!$Y$56="Muy Alta",'Mapa final'!$AA$56="Mayor"),CONCATENATE("R9C",'Mapa final'!$O$56),"")</f>
        <v/>
      </c>
      <c r="AD14" s="52" t="str">
        <f>IF(AND('Mapa final'!$Y$57="Muy Alta",'Mapa final'!$AA$57="Mayor"),CONCATENATE("R9C",'Mapa final'!$O$57),"")</f>
        <v/>
      </c>
      <c r="AE14" s="52" t="str">
        <f>IF(AND('Mapa final'!$Y$58="Muy Alta",'Mapa final'!$AA$58="Mayor"),CONCATENATE("R9C",'Mapa final'!$O$58),"")</f>
        <v/>
      </c>
      <c r="AF14" s="52" t="str">
        <f>IF(AND('Mapa final'!$Y$59="Muy Alta",'Mapa final'!$AA$59="Mayor"),CONCATENATE("R9C",'Mapa final'!$O$59),"")</f>
        <v/>
      </c>
      <c r="AG14" s="53" t="str">
        <f>IF(AND('Mapa final'!$Y$60="Muy Alta",'Mapa final'!$AA$60="Mayor"),CONCATENATE("R9C",'Mapa final'!$O$60),"")</f>
        <v/>
      </c>
      <c r="AH14" s="54" t="str">
        <f>IF(AND('Mapa final'!$Y$55="Muy Alta",'Mapa final'!$AA$55="Catastrófico"),CONCATENATE("R9C",'Mapa final'!$O$55),"")</f>
        <v/>
      </c>
      <c r="AI14" s="55" t="str">
        <f>IF(AND('Mapa final'!$Y$56="Muy Alta",'Mapa final'!$AA$56="Catastrófico"),CONCATENATE("R9C",'Mapa final'!$O$56),"")</f>
        <v/>
      </c>
      <c r="AJ14" s="55" t="str">
        <f>IF(AND('Mapa final'!$Y$57="Muy Alta",'Mapa final'!$AA$57="Catastrófico"),CONCATENATE("R9C",'Mapa final'!$O$57),"")</f>
        <v/>
      </c>
      <c r="AK14" s="55" t="str">
        <f>IF(AND('Mapa final'!$Y$58="Muy Alta",'Mapa final'!$AA$58="Catastrófico"),CONCATENATE("R9C",'Mapa final'!$O$58),"")</f>
        <v/>
      </c>
      <c r="AL14" s="55" t="str">
        <f>IF(AND('Mapa final'!$Y$59="Muy Alta",'Mapa final'!$AA$59="Catastrófico"),CONCATENATE("R9C",'Mapa final'!$O$59),"")</f>
        <v/>
      </c>
      <c r="AM14" s="56" t="str">
        <f>IF(AND('Mapa final'!$Y$60="Muy Alta",'Mapa final'!$AA$60="Catastrófico"),CONCATENATE("R9C",'Mapa final'!$O$60),"")</f>
        <v/>
      </c>
      <c r="AN14" s="82"/>
      <c r="AO14" s="400"/>
      <c r="AP14" s="401"/>
      <c r="AQ14" s="401"/>
      <c r="AR14" s="401"/>
      <c r="AS14" s="401"/>
      <c r="AT14" s="40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95"/>
      <c r="C15" s="295"/>
      <c r="D15" s="296"/>
      <c r="E15" s="395"/>
      <c r="F15" s="396"/>
      <c r="G15" s="396"/>
      <c r="H15" s="396"/>
      <c r="I15" s="410"/>
      <c r="J15" s="57" t="str">
        <f>IF(AND('Mapa final'!$Y$61="Muy Alta",'Mapa final'!$AA$61="Leve"),CONCATENATE("R10C",'Mapa final'!$O$61),"")</f>
        <v/>
      </c>
      <c r="K15" s="58" t="str">
        <f>IF(AND('Mapa final'!$Y$62="Muy Alta",'Mapa final'!$AA$62="Leve"),CONCATENATE("R10C",'Mapa final'!$O$62),"")</f>
        <v/>
      </c>
      <c r="L15" s="58" t="str">
        <f>IF(AND('Mapa final'!$Y$63="Muy Alta",'Mapa final'!$AA$63="Leve"),CONCATENATE("R10C",'Mapa final'!$O$63),"")</f>
        <v/>
      </c>
      <c r="M15" s="58" t="str">
        <f>IF(AND('Mapa final'!$Y$64="Muy Alta",'Mapa final'!$AA$64="Leve"),CONCATENATE("R10C",'Mapa final'!$O$64),"")</f>
        <v/>
      </c>
      <c r="N15" s="58" t="str">
        <f>IF(AND('Mapa final'!$Y$65="Muy Alta",'Mapa final'!$AA$65="Leve"),CONCATENATE("R10C",'Mapa final'!$O$65),"")</f>
        <v/>
      </c>
      <c r="O15" s="59" t="str">
        <f>IF(AND('Mapa final'!$Y$66="Muy Alta",'Mapa final'!$AA$66="Leve"),CONCATENATE("R10C",'Mapa final'!$O$66),"")</f>
        <v/>
      </c>
      <c r="P15" s="51" t="str">
        <f>IF(AND('Mapa final'!$Y$61="Muy Alta",'Mapa final'!$AA$61="Menor"),CONCATENATE("R10C",'Mapa final'!$O$61),"")</f>
        <v/>
      </c>
      <c r="Q15" s="52" t="str">
        <f>IF(AND('Mapa final'!$Y$62="Muy Alta",'Mapa final'!$AA$62="Menor"),CONCATENATE("R10C",'Mapa final'!$O$62),"")</f>
        <v/>
      </c>
      <c r="R15" s="52" t="str">
        <f>IF(AND('Mapa final'!$Y$63="Muy Alta",'Mapa final'!$AA$63="Menor"),CONCATENATE("R10C",'Mapa final'!$O$63),"")</f>
        <v/>
      </c>
      <c r="S15" s="52" t="str">
        <f>IF(AND('Mapa final'!$Y$64="Muy Alta",'Mapa final'!$AA$64="Menor"),CONCATENATE("R10C",'Mapa final'!$O$64),"")</f>
        <v/>
      </c>
      <c r="T15" s="52" t="str">
        <f>IF(AND('Mapa final'!$Y$65="Muy Alta",'Mapa final'!$AA$65="Menor"),CONCATENATE("R10C",'Mapa final'!$O$65),"")</f>
        <v/>
      </c>
      <c r="U15" s="53" t="str">
        <f>IF(AND('Mapa final'!$Y$66="Muy Alta",'Mapa final'!$AA$66="Menor"),CONCATENATE("R10C",'Mapa final'!$O$66),"")</f>
        <v/>
      </c>
      <c r="V15" s="57" t="str">
        <f>IF(AND('Mapa final'!$Y$61="Muy Alta",'Mapa final'!$AA$61="Moderado"),CONCATENATE("R10C",'Mapa final'!$O$61),"")</f>
        <v/>
      </c>
      <c r="W15" s="58" t="str">
        <f>IF(AND('Mapa final'!$Y$62="Muy Alta",'Mapa final'!$AA$62="Moderado"),CONCATENATE("R10C",'Mapa final'!$O$62),"")</f>
        <v/>
      </c>
      <c r="X15" s="58" t="str">
        <f>IF(AND('Mapa final'!$Y$63="Muy Alta",'Mapa final'!$AA$63="Moderado"),CONCATENATE("R10C",'Mapa final'!$O$63),"")</f>
        <v/>
      </c>
      <c r="Y15" s="58" t="str">
        <f>IF(AND('Mapa final'!$Y$64="Muy Alta",'Mapa final'!$AA$64="Moderado"),CONCATENATE("R10C",'Mapa final'!$O$64),"")</f>
        <v/>
      </c>
      <c r="Z15" s="58" t="str">
        <f>IF(AND('Mapa final'!$Y$65="Muy Alta",'Mapa final'!$AA$65="Moderado"),CONCATENATE("R10C",'Mapa final'!$O$65),"")</f>
        <v/>
      </c>
      <c r="AA15" s="59" t="str">
        <f>IF(AND('Mapa final'!$Y$66="Muy Alta",'Mapa final'!$AA$66="Moderado"),CONCATENATE("R10C",'Mapa final'!$O$66),"")</f>
        <v/>
      </c>
      <c r="AB15" s="51" t="str">
        <f>IF(AND('Mapa final'!$Y$61="Muy Alta",'Mapa final'!$AA$61="Mayor"),CONCATENATE("R10C",'Mapa final'!$O$61),"")</f>
        <v/>
      </c>
      <c r="AC15" s="52" t="str">
        <f>IF(AND('Mapa final'!$Y$62="Muy Alta",'Mapa final'!$AA$62="Mayor"),CONCATENATE("R10C",'Mapa final'!$O$62),"")</f>
        <v/>
      </c>
      <c r="AD15" s="52" t="str">
        <f>IF(AND('Mapa final'!$Y$63="Muy Alta",'Mapa final'!$AA$63="Mayor"),CONCATENATE("R10C",'Mapa final'!$O$63),"")</f>
        <v/>
      </c>
      <c r="AE15" s="52" t="str">
        <f>IF(AND('Mapa final'!$Y$64="Muy Alta",'Mapa final'!$AA$64="Mayor"),CONCATENATE("R10C",'Mapa final'!$O$64),"")</f>
        <v/>
      </c>
      <c r="AF15" s="52" t="str">
        <f>IF(AND('Mapa final'!$Y$65="Muy Alta",'Mapa final'!$AA$65="Mayor"),CONCATENATE("R10C",'Mapa final'!$O$65),"")</f>
        <v/>
      </c>
      <c r="AG15" s="53" t="str">
        <f>IF(AND('Mapa final'!$Y$66="Muy Alta",'Mapa final'!$AA$66="Mayor"),CONCATENATE("R10C",'Mapa final'!$O$66),"")</f>
        <v/>
      </c>
      <c r="AH15" s="60" t="str">
        <f>IF(AND('Mapa final'!$Y$61="Muy Alta",'Mapa final'!$AA$61="Catastrófico"),CONCATENATE("R10C",'Mapa final'!$O$61),"")</f>
        <v/>
      </c>
      <c r="AI15" s="61" t="str">
        <f>IF(AND('Mapa final'!$Y$62="Muy Alta",'Mapa final'!$AA$62="Catastrófico"),CONCATENATE("R10C",'Mapa final'!$O$62),"")</f>
        <v/>
      </c>
      <c r="AJ15" s="61" t="str">
        <f>IF(AND('Mapa final'!$Y$63="Muy Alta",'Mapa final'!$AA$63="Catastrófico"),CONCATENATE("R10C",'Mapa final'!$O$63),"")</f>
        <v/>
      </c>
      <c r="AK15" s="61" t="str">
        <f>IF(AND('Mapa final'!$Y$64="Muy Alta",'Mapa final'!$AA$64="Catastrófico"),CONCATENATE("R10C",'Mapa final'!$O$64),"")</f>
        <v/>
      </c>
      <c r="AL15" s="61" t="str">
        <f>IF(AND('Mapa final'!$Y$65="Muy Alta",'Mapa final'!$AA$65="Catastrófico"),CONCATENATE("R10C",'Mapa final'!$O$65),"")</f>
        <v/>
      </c>
      <c r="AM15" s="62" t="str">
        <f>IF(AND('Mapa final'!$Y$66="Muy Alta",'Mapa final'!$AA$66="Catastrófico"),CONCATENATE("R10C",'Mapa final'!$O$66),"")</f>
        <v/>
      </c>
      <c r="AN15" s="82"/>
      <c r="AO15" s="403"/>
      <c r="AP15" s="404"/>
      <c r="AQ15" s="404"/>
      <c r="AR15" s="404"/>
      <c r="AS15" s="404"/>
      <c r="AT15" s="40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95"/>
      <c r="C16" s="295"/>
      <c r="D16" s="296"/>
      <c r="E16" s="390" t="s">
        <v>114</v>
      </c>
      <c r="F16" s="391"/>
      <c r="G16" s="391"/>
      <c r="H16" s="391"/>
      <c r="I16" s="391"/>
      <c r="J16" s="63" t="str">
        <f ca="1">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 ca="1">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 ca="1">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 ca="1">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 ca="1">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81" t="s">
        <v>79</v>
      </c>
      <c r="AP16" s="382"/>
      <c r="AQ16" s="382"/>
      <c r="AR16" s="382"/>
      <c r="AS16" s="382"/>
      <c r="AT16" s="38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95"/>
      <c r="C17" s="295"/>
      <c r="D17" s="296"/>
      <c r="E17" s="392"/>
      <c r="F17" s="393"/>
      <c r="G17" s="393"/>
      <c r="H17" s="393"/>
      <c r="I17" s="393"/>
      <c r="J17" s="66" t="str">
        <f ca="1">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 ca="1">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 ca="1">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 ca="1">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 ca="1">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84"/>
      <c r="AP17" s="385"/>
      <c r="AQ17" s="385"/>
      <c r="AR17" s="385"/>
      <c r="AS17" s="385"/>
      <c r="AT17" s="38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95"/>
      <c r="C18" s="295"/>
      <c r="D18" s="296"/>
      <c r="E18" s="394"/>
      <c r="F18" s="393"/>
      <c r="G18" s="393"/>
      <c r="H18" s="393"/>
      <c r="I18" s="393"/>
      <c r="J18" s="66" t="str">
        <f ca="1">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 ca="1">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 ca="1">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 ca="1">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 ca="1">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84"/>
      <c r="AP18" s="385"/>
      <c r="AQ18" s="385"/>
      <c r="AR18" s="385"/>
      <c r="AS18" s="385"/>
      <c r="AT18" s="38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95"/>
      <c r="C19" s="295"/>
      <c r="D19" s="296"/>
      <c r="E19" s="394"/>
      <c r="F19" s="393"/>
      <c r="G19" s="393"/>
      <c r="H19" s="393"/>
      <c r="I19" s="393"/>
      <c r="J19" s="66" t="str">
        <f ca="1">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 ca="1">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 ca="1">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 ca="1">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 ca="1">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84"/>
      <c r="AP19" s="385"/>
      <c r="AQ19" s="385"/>
      <c r="AR19" s="385"/>
      <c r="AS19" s="385"/>
      <c r="AT19" s="38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95"/>
      <c r="C20" s="295"/>
      <c r="D20" s="296"/>
      <c r="E20" s="394"/>
      <c r="F20" s="393"/>
      <c r="G20" s="393"/>
      <c r="H20" s="393"/>
      <c r="I20" s="393"/>
      <c r="J20" s="66" t="str">
        <f ca="1">IF(AND('Mapa final'!$Y$34="Alta",'Mapa final'!$AA$34="Leve"),CONCATENATE("R5C",'Mapa final'!$O$34),"")</f>
        <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str">
        <f>IF(AND('Mapa final'!$Y$35="Alta",'Mapa final'!$AA$35="Leve"),CONCATENATE("R5C",'Mapa final'!$O$35),"")</f>
        <v/>
      </c>
      <c r="O20" s="68" t="str">
        <f>IF(AND('Mapa final'!$Y$36="Alta",'Mapa final'!$AA$36="Leve"),CONCATENATE("R5C",'Mapa final'!$O$36),"")</f>
        <v/>
      </c>
      <c r="P20" s="66" t="str">
        <f ca="1">IF(AND('Mapa final'!$Y$34="Alta",'Mapa final'!$AA$34="Menor"),CONCATENATE("R5C",'Mapa final'!$O$34),"")</f>
        <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str">
        <f>IF(AND('Mapa final'!$Y$35="Alta",'Mapa final'!$AA$35="Menor"),CONCATENATE("R5C",'Mapa final'!$O$35),"")</f>
        <v/>
      </c>
      <c r="U20" s="68" t="str">
        <f>IF(AND('Mapa final'!$Y$36="Alta",'Mapa final'!$AA$36="Menor"),CONCATENATE("R5C",'Mapa final'!$O$36),"")</f>
        <v/>
      </c>
      <c r="V20" s="51" t="str">
        <f ca="1">IF(AND('Mapa final'!$Y$34="Alta",'Mapa final'!$AA$34="Moderado"),CONCATENATE("R5C",'Mapa final'!$O$34),"")</f>
        <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str">
        <f>IF(AND('Mapa final'!$Y$35="Alta",'Mapa final'!$AA$35="Moderado"),CONCATENATE("R5C",'Mapa final'!$O$35),"")</f>
        <v/>
      </c>
      <c r="AA20" s="53" t="str">
        <f>IF(AND('Mapa final'!$Y$36="Alta",'Mapa final'!$AA$36="Moderado"),CONCATENATE("R5C",'Mapa final'!$O$36),"")</f>
        <v/>
      </c>
      <c r="AB20" s="51" t="str">
        <f ca="1">IF(AND('Mapa final'!$Y$34="Alta",'Mapa final'!$AA$34="Mayor"),CONCATENATE("R5C",'Mapa final'!$O$34),"")</f>
        <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str">
        <f>IF(AND('Mapa final'!$Y$35="Alta",'Mapa final'!$AA$35="Mayor"),CONCATENATE("R5C",'Mapa final'!$O$35),"")</f>
        <v/>
      </c>
      <c r="AG20" s="53" t="str">
        <f>IF(AND('Mapa final'!$Y$36="Alta",'Mapa final'!$AA$36="Mayor"),CONCATENATE("R5C",'Mapa final'!$O$36),"")</f>
        <v/>
      </c>
      <c r="AH20" s="54" t="str">
        <f ca="1">IF(AND('Mapa final'!$Y$34="Alta",'Mapa final'!$AA$34="Catastrófico"),CONCATENATE("R5C",'Mapa final'!$O$34),"")</f>
        <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str">
        <f>IF(AND('Mapa final'!$Y$35="Alta",'Mapa final'!$AA$35="Catastrófico"),CONCATENATE("R5C",'Mapa final'!$O$35),"")</f>
        <v/>
      </c>
      <c r="AM20" s="56" t="str">
        <f>IF(AND('Mapa final'!$Y$36="Alta",'Mapa final'!$AA$36="Catastrófico"),CONCATENATE("R5C",'Mapa final'!$O$36),"")</f>
        <v/>
      </c>
      <c r="AN20" s="82"/>
      <c r="AO20" s="384"/>
      <c r="AP20" s="385"/>
      <c r="AQ20" s="385"/>
      <c r="AR20" s="385"/>
      <c r="AS20" s="385"/>
      <c r="AT20" s="38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95"/>
      <c r="C21" s="295"/>
      <c r="D21" s="296"/>
      <c r="E21" s="394"/>
      <c r="F21" s="393"/>
      <c r="G21" s="393"/>
      <c r="H21" s="393"/>
      <c r="I21" s="393"/>
      <c r="J21" s="66" t="str">
        <f>IF(AND('Mapa final'!$Y$37="Alta",'Mapa final'!$AA$37="Leve"),CONCATENATE("R6C",'Mapa final'!$O$37),"")</f>
        <v/>
      </c>
      <c r="K21" s="67" t="str">
        <f>IF(AND('Mapa final'!$Y$38="Alta",'Mapa final'!$AA$38="Leve"),CONCATENATE("R6C",'Mapa final'!$O$38),"")</f>
        <v/>
      </c>
      <c r="L21" s="67" t="str">
        <f>IF(AND('Mapa final'!$Y$39="Alta",'Mapa final'!$AA$39="Leve"),CONCATENATE("R6C",'Mapa final'!$O$39),"")</f>
        <v/>
      </c>
      <c r="M21" s="67" t="str">
        <f>IF(AND('Mapa final'!$Y$40="Alta",'Mapa final'!$AA$40="Leve"),CONCATENATE("R6C",'Mapa final'!$O$40),"")</f>
        <v/>
      </c>
      <c r="N21" s="67" t="str">
        <f>IF(AND('Mapa final'!$Y$41="Alta",'Mapa final'!$AA$41="Leve"),CONCATENATE("R6C",'Mapa final'!$O$41),"")</f>
        <v/>
      </c>
      <c r="O21" s="68" t="str">
        <f>IF(AND('Mapa final'!$Y$42="Alta",'Mapa final'!$AA$42="Leve"),CONCATENATE("R6C",'Mapa final'!$O$42),"")</f>
        <v/>
      </c>
      <c r="P21" s="66" t="str">
        <f>IF(AND('Mapa final'!$Y$37="Alta",'Mapa final'!$AA$37="Menor"),CONCATENATE("R6C",'Mapa final'!$O$37),"")</f>
        <v/>
      </c>
      <c r="Q21" s="67" t="str">
        <f>IF(AND('Mapa final'!$Y$38="Alta",'Mapa final'!$AA$38="Menor"),CONCATENATE("R6C",'Mapa final'!$O$38),"")</f>
        <v/>
      </c>
      <c r="R21" s="67" t="str">
        <f>IF(AND('Mapa final'!$Y$39="Alta",'Mapa final'!$AA$39="Menor"),CONCATENATE("R6C",'Mapa final'!$O$39),"")</f>
        <v/>
      </c>
      <c r="S21" s="67" t="str">
        <f>IF(AND('Mapa final'!$Y$40="Alta",'Mapa final'!$AA$40="Menor"),CONCATENATE("R6C",'Mapa final'!$O$40),"")</f>
        <v/>
      </c>
      <c r="T21" s="67" t="str">
        <f>IF(AND('Mapa final'!$Y$41="Alta",'Mapa final'!$AA$41="Menor"),CONCATENATE("R6C",'Mapa final'!$O$41),"")</f>
        <v/>
      </c>
      <c r="U21" s="68" t="str">
        <f>IF(AND('Mapa final'!$Y$42="Alta",'Mapa final'!$AA$42="Menor"),CONCATENATE("R6C",'Mapa final'!$O$42),"")</f>
        <v/>
      </c>
      <c r="V21" s="51" t="str">
        <f>IF(AND('Mapa final'!$Y$37="Alta",'Mapa final'!$AA$37="Moderado"),CONCATENATE("R6C",'Mapa final'!$O$37),"")</f>
        <v/>
      </c>
      <c r="W21" s="52" t="str">
        <f>IF(AND('Mapa final'!$Y$38="Alta",'Mapa final'!$AA$38="Moderado"),CONCATENATE("R6C",'Mapa final'!$O$38),"")</f>
        <v/>
      </c>
      <c r="X21" s="52" t="str">
        <f>IF(AND('Mapa final'!$Y$39="Alta",'Mapa final'!$AA$39="Moderado"),CONCATENATE("R6C",'Mapa final'!$O$39),"")</f>
        <v/>
      </c>
      <c r="Y21" s="52" t="str">
        <f>IF(AND('Mapa final'!$Y$40="Alta",'Mapa final'!$AA$40="Moderado"),CONCATENATE("R6C",'Mapa final'!$O$40),"")</f>
        <v/>
      </c>
      <c r="Z21" s="52" t="str">
        <f>IF(AND('Mapa final'!$Y$41="Alta",'Mapa final'!$AA$41="Moderado"),CONCATENATE("R6C",'Mapa final'!$O$41),"")</f>
        <v/>
      </c>
      <c r="AA21" s="53" t="str">
        <f>IF(AND('Mapa final'!$Y$42="Alta",'Mapa final'!$AA$42="Moderado"),CONCATENATE("R6C",'Mapa final'!$O$42),"")</f>
        <v/>
      </c>
      <c r="AB21" s="51" t="str">
        <f>IF(AND('Mapa final'!$Y$37="Alta",'Mapa final'!$AA$37="Mayor"),CONCATENATE("R6C",'Mapa final'!$O$37),"")</f>
        <v/>
      </c>
      <c r="AC21" s="52" t="str">
        <f>IF(AND('Mapa final'!$Y$38="Alta",'Mapa final'!$AA$38="Mayor"),CONCATENATE("R6C",'Mapa final'!$O$38),"")</f>
        <v/>
      </c>
      <c r="AD21" s="52" t="str">
        <f>IF(AND('Mapa final'!$Y$39="Alta",'Mapa final'!$AA$39="Mayor"),CONCATENATE("R6C",'Mapa final'!$O$39),"")</f>
        <v/>
      </c>
      <c r="AE21" s="52" t="str">
        <f>IF(AND('Mapa final'!$Y$40="Alta",'Mapa final'!$AA$40="Mayor"),CONCATENATE("R6C",'Mapa final'!$O$40),"")</f>
        <v/>
      </c>
      <c r="AF21" s="52" t="str">
        <f>IF(AND('Mapa final'!$Y$41="Alta",'Mapa final'!$AA$41="Mayor"),CONCATENATE("R6C",'Mapa final'!$O$41),"")</f>
        <v/>
      </c>
      <c r="AG21" s="53" t="str">
        <f>IF(AND('Mapa final'!$Y$42="Alta",'Mapa final'!$AA$42="Mayor"),CONCATENATE("R6C",'Mapa final'!$O$42),"")</f>
        <v/>
      </c>
      <c r="AH21" s="54" t="str">
        <f>IF(AND('Mapa final'!$Y$37="Alta",'Mapa final'!$AA$37="Catastrófico"),CONCATENATE("R6C",'Mapa final'!$O$37),"")</f>
        <v/>
      </c>
      <c r="AI21" s="55" t="str">
        <f>IF(AND('Mapa final'!$Y$38="Alta",'Mapa final'!$AA$38="Catastrófico"),CONCATENATE("R6C",'Mapa final'!$O$38),"")</f>
        <v/>
      </c>
      <c r="AJ21" s="55" t="str">
        <f>IF(AND('Mapa final'!$Y$39="Alta",'Mapa final'!$AA$39="Catastrófico"),CONCATENATE("R6C",'Mapa final'!$O$39),"")</f>
        <v/>
      </c>
      <c r="AK21" s="55" t="str">
        <f>IF(AND('Mapa final'!$Y$40="Alta",'Mapa final'!$AA$40="Catastrófico"),CONCATENATE("R6C",'Mapa final'!$O$40),"")</f>
        <v/>
      </c>
      <c r="AL21" s="55" t="str">
        <f>IF(AND('Mapa final'!$Y$41="Alta",'Mapa final'!$AA$41="Catastrófico"),CONCATENATE("R6C",'Mapa final'!$O$41),"")</f>
        <v/>
      </c>
      <c r="AM21" s="56" t="str">
        <f>IF(AND('Mapa final'!$Y$42="Alta",'Mapa final'!$AA$42="Catastrófico"),CONCATENATE("R6C",'Mapa final'!$O$42),"")</f>
        <v/>
      </c>
      <c r="AN21" s="82"/>
      <c r="AO21" s="384"/>
      <c r="AP21" s="385"/>
      <c r="AQ21" s="385"/>
      <c r="AR21" s="385"/>
      <c r="AS21" s="385"/>
      <c r="AT21" s="38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95"/>
      <c r="C22" s="295"/>
      <c r="D22" s="296"/>
      <c r="E22" s="394"/>
      <c r="F22" s="393"/>
      <c r="G22" s="393"/>
      <c r="H22" s="393"/>
      <c r="I22" s="393"/>
      <c r="J22" s="66" t="str">
        <f>IF(AND('Mapa final'!$Y$43="Alta",'Mapa final'!$AA$43="Leve"),CONCATENATE("R7C",'Mapa final'!$O$43),"")</f>
        <v/>
      </c>
      <c r="K22" s="67" t="str">
        <f>IF(AND('Mapa final'!$Y$44="Alta",'Mapa final'!$AA$44="Leve"),CONCATENATE("R7C",'Mapa final'!$O$44),"")</f>
        <v/>
      </c>
      <c r="L22" s="67" t="str">
        <f>IF(AND('Mapa final'!$Y$45="Alta",'Mapa final'!$AA$45="Leve"),CONCATENATE("R7C",'Mapa final'!$O$45),"")</f>
        <v/>
      </c>
      <c r="M22" s="67" t="str">
        <f>IF(AND('Mapa final'!$Y$46="Alta",'Mapa final'!$AA$46="Leve"),CONCATENATE("R7C",'Mapa final'!$O$46),"")</f>
        <v/>
      </c>
      <c r="N22" s="67" t="str">
        <f>IF(AND('Mapa final'!$Y$47="Alta",'Mapa final'!$AA$47="Leve"),CONCATENATE("R7C",'Mapa final'!$O$47),"")</f>
        <v/>
      </c>
      <c r="O22" s="68" t="str">
        <f>IF(AND('Mapa final'!$Y$48="Alta",'Mapa final'!$AA$48="Leve"),CONCATENATE("R7C",'Mapa final'!$O$48),"")</f>
        <v/>
      </c>
      <c r="P22" s="66" t="str">
        <f>IF(AND('Mapa final'!$Y$43="Alta",'Mapa final'!$AA$43="Menor"),CONCATENATE("R7C",'Mapa final'!$O$43),"")</f>
        <v/>
      </c>
      <c r="Q22" s="67" t="str">
        <f>IF(AND('Mapa final'!$Y$44="Alta",'Mapa final'!$AA$44="Menor"),CONCATENATE("R7C",'Mapa final'!$O$44),"")</f>
        <v/>
      </c>
      <c r="R22" s="67" t="str">
        <f>IF(AND('Mapa final'!$Y$45="Alta",'Mapa final'!$AA$45="Menor"),CONCATENATE("R7C",'Mapa final'!$O$45),"")</f>
        <v/>
      </c>
      <c r="S22" s="67" t="str">
        <f>IF(AND('Mapa final'!$Y$46="Alta",'Mapa final'!$AA$46="Menor"),CONCATENATE("R7C",'Mapa final'!$O$46),"")</f>
        <v/>
      </c>
      <c r="T22" s="67" t="str">
        <f>IF(AND('Mapa final'!$Y$47="Alta",'Mapa final'!$AA$47="Menor"),CONCATENATE("R7C",'Mapa final'!$O$47),"")</f>
        <v/>
      </c>
      <c r="U22" s="68" t="str">
        <f>IF(AND('Mapa final'!$Y$48="Alta",'Mapa final'!$AA$48="Menor"),CONCATENATE("R7C",'Mapa final'!$O$48),"")</f>
        <v/>
      </c>
      <c r="V22" s="51" t="str">
        <f>IF(AND('Mapa final'!$Y$43="Alta",'Mapa final'!$AA$43="Moderado"),CONCATENATE("R7C",'Mapa final'!$O$43),"")</f>
        <v/>
      </c>
      <c r="W22" s="52" t="str">
        <f>IF(AND('Mapa final'!$Y$44="Alta",'Mapa final'!$AA$44="Moderado"),CONCATENATE("R7C",'Mapa final'!$O$44),"")</f>
        <v/>
      </c>
      <c r="X22" s="52" t="str">
        <f>IF(AND('Mapa final'!$Y$45="Alta",'Mapa final'!$AA$45="Moderado"),CONCATENATE("R7C",'Mapa final'!$O$45),"")</f>
        <v/>
      </c>
      <c r="Y22" s="52" t="str">
        <f>IF(AND('Mapa final'!$Y$46="Alta",'Mapa final'!$AA$46="Moderado"),CONCATENATE("R7C",'Mapa final'!$O$46),"")</f>
        <v/>
      </c>
      <c r="Z22" s="52" t="str">
        <f>IF(AND('Mapa final'!$Y$47="Alta",'Mapa final'!$AA$47="Moderado"),CONCATENATE("R7C",'Mapa final'!$O$47),"")</f>
        <v/>
      </c>
      <c r="AA22" s="53" t="str">
        <f>IF(AND('Mapa final'!$Y$48="Alta",'Mapa final'!$AA$48="Moderado"),CONCATENATE("R7C",'Mapa final'!$O$48),"")</f>
        <v/>
      </c>
      <c r="AB22" s="51" t="str">
        <f>IF(AND('Mapa final'!$Y$43="Alta",'Mapa final'!$AA$43="Mayor"),CONCATENATE("R7C",'Mapa final'!$O$43),"")</f>
        <v/>
      </c>
      <c r="AC22" s="52" t="str">
        <f>IF(AND('Mapa final'!$Y$44="Alta",'Mapa final'!$AA$44="Mayor"),CONCATENATE("R7C",'Mapa final'!$O$44),"")</f>
        <v/>
      </c>
      <c r="AD22" s="52" t="str">
        <f>IF(AND('Mapa final'!$Y$45="Alta",'Mapa final'!$AA$45="Mayor"),CONCATENATE("R7C",'Mapa final'!$O$45),"")</f>
        <v/>
      </c>
      <c r="AE22" s="52" t="str">
        <f>IF(AND('Mapa final'!$Y$46="Alta",'Mapa final'!$AA$46="Mayor"),CONCATENATE("R7C",'Mapa final'!$O$46),"")</f>
        <v/>
      </c>
      <c r="AF22" s="52" t="str">
        <f>IF(AND('Mapa final'!$Y$47="Alta",'Mapa final'!$AA$47="Mayor"),CONCATENATE("R7C",'Mapa final'!$O$47),"")</f>
        <v/>
      </c>
      <c r="AG22" s="53" t="str">
        <f>IF(AND('Mapa final'!$Y$48="Alta",'Mapa final'!$AA$48="Mayor"),CONCATENATE("R7C",'Mapa final'!$O$48),"")</f>
        <v/>
      </c>
      <c r="AH22" s="54" t="str">
        <f>IF(AND('Mapa final'!$Y$43="Alta",'Mapa final'!$AA$43="Catastrófico"),CONCATENATE("R7C",'Mapa final'!$O$43),"")</f>
        <v/>
      </c>
      <c r="AI22" s="55" t="str">
        <f>IF(AND('Mapa final'!$Y$44="Alta",'Mapa final'!$AA$44="Catastrófico"),CONCATENATE("R7C",'Mapa final'!$O$44),"")</f>
        <v/>
      </c>
      <c r="AJ22" s="55" t="str">
        <f>IF(AND('Mapa final'!$Y$45="Alta",'Mapa final'!$AA$45="Catastrófico"),CONCATENATE("R7C",'Mapa final'!$O$45),"")</f>
        <v/>
      </c>
      <c r="AK22" s="55" t="str">
        <f>IF(AND('Mapa final'!$Y$46="Alta",'Mapa final'!$AA$46="Catastrófico"),CONCATENATE("R7C",'Mapa final'!$O$46),"")</f>
        <v/>
      </c>
      <c r="AL22" s="55" t="str">
        <f>IF(AND('Mapa final'!$Y$47="Alta",'Mapa final'!$AA$47="Catastrófico"),CONCATENATE("R7C",'Mapa final'!$O$47),"")</f>
        <v/>
      </c>
      <c r="AM22" s="56" t="str">
        <f>IF(AND('Mapa final'!$Y$48="Alta",'Mapa final'!$AA$48="Catastrófico"),CONCATENATE("R7C",'Mapa final'!$O$48),"")</f>
        <v/>
      </c>
      <c r="AN22" s="82"/>
      <c r="AO22" s="384"/>
      <c r="AP22" s="385"/>
      <c r="AQ22" s="385"/>
      <c r="AR22" s="385"/>
      <c r="AS22" s="385"/>
      <c r="AT22" s="38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95"/>
      <c r="C23" s="295"/>
      <c r="D23" s="296"/>
      <c r="E23" s="394"/>
      <c r="F23" s="393"/>
      <c r="G23" s="393"/>
      <c r="H23" s="393"/>
      <c r="I23" s="393"/>
      <c r="J23" s="66" t="str">
        <f>IF(AND('Mapa final'!$Y$49="Alta",'Mapa final'!$AA$49="Leve"),CONCATENATE("R8C",'Mapa final'!$O$49),"")</f>
        <v/>
      </c>
      <c r="K23" s="67" t="str">
        <f>IF(AND('Mapa final'!$Y$50="Alta",'Mapa final'!$AA$50="Leve"),CONCATENATE("R8C",'Mapa final'!$O$50),"")</f>
        <v/>
      </c>
      <c r="L23" s="67" t="str">
        <f>IF(AND('Mapa final'!$Y$51="Alta",'Mapa final'!$AA$51="Leve"),CONCATENATE("R8C",'Mapa final'!$O$51),"")</f>
        <v/>
      </c>
      <c r="M23" s="67" t="str">
        <f>IF(AND('Mapa final'!$Y$52="Alta",'Mapa final'!$AA$52="Leve"),CONCATENATE("R8C",'Mapa final'!$O$52),"")</f>
        <v/>
      </c>
      <c r="N23" s="67" t="str">
        <f>IF(AND('Mapa final'!$Y$53="Alta",'Mapa final'!$AA$53="Leve"),CONCATENATE("R8C",'Mapa final'!$O$53),"")</f>
        <v/>
      </c>
      <c r="O23" s="68" t="str">
        <f>IF(AND('Mapa final'!$Y$54="Alta",'Mapa final'!$AA$54="Leve"),CONCATENATE("R8C",'Mapa final'!$O$54),"")</f>
        <v/>
      </c>
      <c r="P23" s="66" t="str">
        <f>IF(AND('Mapa final'!$Y$49="Alta",'Mapa final'!$AA$49="Menor"),CONCATENATE("R8C",'Mapa final'!$O$49),"")</f>
        <v/>
      </c>
      <c r="Q23" s="67" t="str">
        <f>IF(AND('Mapa final'!$Y$50="Alta",'Mapa final'!$AA$50="Menor"),CONCATENATE("R8C",'Mapa final'!$O$50),"")</f>
        <v/>
      </c>
      <c r="R23" s="67" t="str">
        <f>IF(AND('Mapa final'!$Y$51="Alta",'Mapa final'!$AA$51="Menor"),CONCATENATE("R8C",'Mapa final'!$O$51),"")</f>
        <v/>
      </c>
      <c r="S23" s="67" t="str">
        <f>IF(AND('Mapa final'!$Y$52="Alta",'Mapa final'!$AA$52="Menor"),CONCATENATE("R8C",'Mapa final'!$O$52),"")</f>
        <v/>
      </c>
      <c r="T23" s="67" t="str">
        <f>IF(AND('Mapa final'!$Y$53="Alta",'Mapa final'!$AA$53="Menor"),CONCATENATE("R8C",'Mapa final'!$O$53),"")</f>
        <v/>
      </c>
      <c r="U23" s="68" t="str">
        <f>IF(AND('Mapa final'!$Y$54="Alta",'Mapa final'!$AA$54="Menor"),CONCATENATE("R8C",'Mapa final'!$O$54),"")</f>
        <v/>
      </c>
      <c r="V23" s="51" t="str">
        <f>IF(AND('Mapa final'!$Y$49="Alta",'Mapa final'!$AA$49="Moderado"),CONCATENATE("R8C",'Mapa final'!$O$49),"")</f>
        <v/>
      </c>
      <c r="W23" s="52" t="str">
        <f>IF(AND('Mapa final'!$Y$50="Alta",'Mapa final'!$AA$50="Moderado"),CONCATENATE("R8C",'Mapa final'!$O$50),"")</f>
        <v/>
      </c>
      <c r="X23" s="52" t="str">
        <f>IF(AND('Mapa final'!$Y$51="Alta",'Mapa final'!$AA$51="Moderado"),CONCATENATE("R8C",'Mapa final'!$O$51),"")</f>
        <v/>
      </c>
      <c r="Y23" s="52" t="str">
        <f>IF(AND('Mapa final'!$Y$52="Alta",'Mapa final'!$AA$52="Moderado"),CONCATENATE("R8C",'Mapa final'!$O$52),"")</f>
        <v/>
      </c>
      <c r="Z23" s="52" t="str">
        <f>IF(AND('Mapa final'!$Y$53="Alta",'Mapa final'!$AA$53="Moderado"),CONCATENATE("R8C",'Mapa final'!$O$53),"")</f>
        <v/>
      </c>
      <c r="AA23" s="53" t="str">
        <f>IF(AND('Mapa final'!$Y$54="Alta",'Mapa final'!$AA$54="Moderado"),CONCATENATE("R8C",'Mapa final'!$O$54),"")</f>
        <v/>
      </c>
      <c r="AB23" s="51" t="str">
        <f>IF(AND('Mapa final'!$Y$49="Alta",'Mapa final'!$AA$49="Mayor"),CONCATENATE("R8C",'Mapa final'!$O$49),"")</f>
        <v/>
      </c>
      <c r="AC23" s="52" t="str">
        <f>IF(AND('Mapa final'!$Y$50="Alta",'Mapa final'!$AA$50="Mayor"),CONCATENATE("R8C",'Mapa final'!$O$50),"")</f>
        <v/>
      </c>
      <c r="AD23" s="52" t="str">
        <f>IF(AND('Mapa final'!$Y$51="Alta",'Mapa final'!$AA$51="Mayor"),CONCATENATE("R8C",'Mapa final'!$O$51),"")</f>
        <v/>
      </c>
      <c r="AE23" s="52" t="str">
        <f>IF(AND('Mapa final'!$Y$52="Alta",'Mapa final'!$AA$52="Mayor"),CONCATENATE("R8C",'Mapa final'!$O$52),"")</f>
        <v/>
      </c>
      <c r="AF23" s="52" t="str">
        <f>IF(AND('Mapa final'!$Y$53="Alta",'Mapa final'!$AA$53="Mayor"),CONCATENATE("R8C",'Mapa final'!$O$53),"")</f>
        <v/>
      </c>
      <c r="AG23" s="53" t="str">
        <f>IF(AND('Mapa final'!$Y$54="Alta",'Mapa final'!$AA$54="Mayor"),CONCATENATE("R8C",'Mapa final'!$O$54),"")</f>
        <v/>
      </c>
      <c r="AH23" s="54" t="str">
        <f>IF(AND('Mapa final'!$Y$49="Alta",'Mapa final'!$AA$49="Catastrófico"),CONCATENATE("R8C",'Mapa final'!$O$49),"")</f>
        <v/>
      </c>
      <c r="AI23" s="55" t="str">
        <f>IF(AND('Mapa final'!$Y$50="Alta",'Mapa final'!$AA$50="Catastrófico"),CONCATENATE("R8C",'Mapa final'!$O$50),"")</f>
        <v/>
      </c>
      <c r="AJ23" s="55" t="str">
        <f>IF(AND('Mapa final'!$Y$51="Alta",'Mapa final'!$AA$51="Catastrófico"),CONCATENATE("R8C",'Mapa final'!$O$51),"")</f>
        <v/>
      </c>
      <c r="AK23" s="55" t="str">
        <f>IF(AND('Mapa final'!$Y$52="Alta",'Mapa final'!$AA$52="Catastrófico"),CONCATENATE("R8C",'Mapa final'!$O$52),"")</f>
        <v/>
      </c>
      <c r="AL23" s="55" t="str">
        <f>IF(AND('Mapa final'!$Y$53="Alta",'Mapa final'!$AA$53="Catastrófico"),CONCATENATE("R8C",'Mapa final'!$O$53),"")</f>
        <v/>
      </c>
      <c r="AM23" s="56" t="str">
        <f>IF(AND('Mapa final'!$Y$54="Alta",'Mapa final'!$AA$54="Catastrófico"),CONCATENATE("R8C",'Mapa final'!$O$54),"")</f>
        <v/>
      </c>
      <c r="AN23" s="82"/>
      <c r="AO23" s="384"/>
      <c r="AP23" s="385"/>
      <c r="AQ23" s="385"/>
      <c r="AR23" s="385"/>
      <c r="AS23" s="385"/>
      <c r="AT23" s="386"/>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95"/>
      <c r="C24" s="295"/>
      <c r="D24" s="296"/>
      <c r="E24" s="394"/>
      <c r="F24" s="393"/>
      <c r="G24" s="393"/>
      <c r="H24" s="393"/>
      <c r="I24" s="393"/>
      <c r="J24" s="66" t="str">
        <f>IF(AND('Mapa final'!$Y$55="Alta",'Mapa final'!$AA$55="Leve"),CONCATENATE("R9C",'Mapa final'!$O$55),"")</f>
        <v/>
      </c>
      <c r="K24" s="67" t="str">
        <f>IF(AND('Mapa final'!$Y$56="Alta",'Mapa final'!$AA$56="Leve"),CONCATENATE("R9C",'Mapa final'!$O$56),"")</f>
        <v/>
      </c>
      <c r="L24" s="67" t="str">
        <f>IF(AND('Mapa final'!$Y$57="Alta",'Mapa final'!$AA$57="Leve"),CONCATENATE("R9C",'Mapa final'!$O$57),"")</f>
        <v/>
      </c>
      <c r="M24" s="67" t="str">
        <f>IF(AND('Mapa final'!$Y$58="Alta",'Mapa final'!$AA$58="Leve"),CONCATENATE("R9C",'Mapa final'!$O$58),"")</f>
        <v/>
      </c>
      <c r="N24" s="67" t="str">
        <f>IF(AND('Mapa final'!$Y$59="Alta",'Mapa final'!$AA$59="Leve"),CONCATENATE("R9C",'Mapa final'!$O$59),"")</f>
        <v/>
      </c>
      <c r="O24" s="68" t="str">
        <f>IF(AND('Mapa final'!$Y$60="Alta",'Mapa final'!$AA$60="Leve"),CONCATENATE("R9C",'Mapa final'!$O$60),"")</f>
        <v/>
      </c>
      <c r="P24" s="66" t="str">
        <f>IF(AND('Mapa final'!$Y$55="Alta",'Mapa final'!$AA$55="Menor"),CONCATENATE("R9C",'Mapa final'!$O$55),"")</f>
        <v/>
      </c>
      <c r="Q24" s="67" t="str">
        <f>IF(AND('Mapa final'!$Y$56="Alta",'Mapa final'!$AA$56="Menor"),CONCATENATE("R9C",'Mapa final'!$O$56),"")</f>
        <v/>
      </c>
      <c r="R24" s="67" t="str">
        <f>IF(AND('Mapa final'!$Y$57="Alta",'Mapa final'!$AA$57="Menor"),CONCATENATE("R9C",'Mapa final'!$O$57),"")</f>
        <v/>
      </c>
      <c r="S24" s="67" t="str">
        <f>IF(AND('Mapa final'!$Y$58="Alta",'Mapa final'!$AA$58="Menor"),CONCATENATE("R9C",'Mapa final'!$O$58),"")</f>
        <v/>
      </c>
      <c r="T24" s="67" t="str">
        <f>IF(AND('Mapa final'!$Y$59="Alta",'Mapa final'!$AA$59="Menor"),CONCATENATE("R9C",'Mapa final'!$O$59),"")</f>
        <v/>
      </c>
      <c r="U24" s="68" t="str">
        <f>IF(AND('Mapa final'!$Y$60="Alta",'Mapa final'!$AA$60="Menor"),CONCATENATE("R9C",'Mapa final'!$O$60),"")</f>
        <v/>
      </c>
      <c r="V24" s="51" t="str">
        <f>IF(AND('Mapa final'!$Y$55="Alta",'Mapa final'!$AA$55="Moderado"),CONCATENATE("R9C",'Mapa final'!$O$55),"")</f>
        <v/>
      </c>
      <c r="W24" s="52" t="str">
        <f>IF(AND('Mapa final'!$Y$56="Alta",'Mapa final'!$AA$56="Moderado"),CONCATENATE("R9C",'Mapa final'!$O$56),"")</f>
        <v/>
      </c>
      <c r="X24" s="52" t="str">
        <f>IF(AND('Mapa final'!$Y$57="Alta",'Mapa final'!$AA$57="Moderado"),CONCATENATE("R9C",'Mapa final'!$O$57),"")</f>
        <v/>
      </c>
      <c r="Y24" s="52" t="str">
        <f>IF(AND('Mapa final'!$Y$58="Alta",'Mapa final'!$AA$58="Moderado"),CONCATENATE("R9C",'Mapa final'!$O$58),"")</f>
        <v/>
      </c>
      <c r="Z24" s="52" t="str">
        <f>IF(AND('Mapa final'!$Y$59="Alta",'Mapa final'!$AA$59="Moderado"),CONCATENATE("R9C",'Mapa final'!$O$59),"")</f>
        <v/>
      </c>
      <c r="AA24" s="53" t="str">
        <f>IF(AND('Mapa final'!$Y$60="Alta",'Mapa final'!$AA$60="Moderado"),CONCATENATE("R9C",'Mapa final'!$O$60),"")</f>
        <v/>
      </c>
      <c r="AB24" s="51" t="str">
        <f>IF(AND('Mapa final'!$Y$55="Alta",'Mapa final'!$AA$55="Mayor"),CONCATENATE("R9C",'Mapa final'!$O$55),"")</f>
        <v/>
      </c>
      <c r="AC24" s="52" t="str">
        <f>IF(AND('Mapa final'!$Y$56="Alta",'Mapa final'!$AA$56="Mayor"),CONCATENATE("R9C",'Mapa final'!$O$56),"")</f>
        <v/>
      </c>
      <c r="AD24" s="52" t="str">
        <f>IF(AND('Mapa final'!$Y$57="Alta",'Mapa final'!$AA$57="Mayor"),CONCATENATE("R9C",'Mapa final'!$O$57),"")</f>
        <v/>
      </c>
      <c r="AE24" s="52" t="str">
        <f>IF(AND('Mapa final'!$Y$58="Alta",'Mapa final'!$AA$58="Mayor"),CONCATENATE("R9C",'Mapa final'!$O$58),"")</f>
        <v/>
      </c>
      <c r="AF24" s="52" t="str">
        <f>IF(AND('Mapa final'!$Y$59="Alta",'Mapa final'!$AA$59="Mayor"),CONCATENATE("R9C",'Mapa final'!$O$59),"")</f>
        <v/>
      </c>
      <c r="AG24" s="53" t="str">
        <f>IF(AND('Mapa final'!$Y$60="Alta",'Mapa final'!$AA$60="Mayor"),CONCATENATE("R9C",'Mapa final'!$O$60),"")</f>
        <v/>
      </c>
      <c r="AH24" s="54" t="str">
        <f>IF(AND('Mapa final'!$Y$55="Alta",'Mapa final'!$AA$55="Catastrófico"),CONCATENATE("R9C",'Mapa final'!$O$55),"")</f>
        <v/>
      </c>
      <c r="AI24" s="55" t="str">
        <f>IF(AND('Mapa final'!$Y$56="Alta",'Mapa final'!$AA$56="Catastrófico"),CONCATENATE("R9C",'Mapa final'!$O$56),"")</f>
        <v/>
      </c>
      <c r="AJ24" s="55" t="str">
        <f>IF(AND('Mapa final'!$Y$57="Alta",'Mapa final'!$AA$57="Catastrófico"),CONCATENATE("R9C",'Mapa final'!$O$57),"")</f>
        <v/>
      </c>
      <c r="AK24" s="55" t="str">
        <f>IF(AND('Mapa final'!$Y$58="Alta",'Mapa final'!$AA$58="Catastrófico"),CONCATENATE("R9C",'Mapa final'!$O$58),"")</f>
        <v/>
      </c>
      <c r="AL24" s="55" t="str">
        <f>IF(AND('Mapa final'!$Y$59="Alta",'Mapa final'!$AA$59="Catastrófico"),CONCATENATE("R9C",'Mapa final'!$O$59),"")</f>
        <v/>
      </c>
      <c r="AM24" s="56" t="str">
        <f>IF(AND('Mapa final'!$Y$60="Alta",'Mapa final'!$AA$60="Catastrófico"),CONCATENATE("R9C",'Mapa final'!$O$60),"")</f>
        <v/>
      </c>
      <c r="AN24" s="82"/>
      <c r="AO24" s="384"/>
      <c r="AP24" s="385"/>
      <c r="AQ24" s="385"/>
      <c r="AR24" s="385"/>
      <c r="AS24" s="385"/>
      <c r="AT24" s="386"/>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95"/>
      <c r="C25" s="295"/>
      <c r="D25" s="296"/>
      <c r="E25" s="395"/>
      <c r="F25" s="396"/>
      <c r="G25" s="396"/>
      <c r="H25" s="396"/>
      <c r="I25" s="396"/>
      <c r="J25" s="69" t="str">
        <f>IF(AND('Mapa final'!$Y$61="Alta",'Mapa final'!$AA$61="Leve"),CONCATENATE("R10C",'Mapa final'!$O$61),"")</f>
        <v/>
      </c>
      <c r="K25" s="70" t="str">
        <f>IF(AND('Mapa final'!$Y$62="Alta",'Mapa final'!$AA$62="Leve"),CONCATENATE("R10C",'Mapa final'!$O$62),"")</f>
        <v/>
      </c>
      <c r="L25" s="70" t="str">
        <f>IF(AND('Mapa final'!$Y$63="Alta",'Mapa final'!$AA$63="Leve"),CONCATENATE("R10C",'Mapa final'!$O$63),"")</f>
        <v/>
      </c>
      <c r="M25" s="70" t="str">
        <f>IF(AND('Mapa final'!$Y$64="Alta",'Mapa final'!$AA$64="Leve"),CONCATENATE("R10C",'Mapa final'!$O$64),"")</f>
        <v/>
      </c>
      <c r="N25" s="70" t="str">
        <f>IF(AND('Mapa final'!$Y$65="Alta",'Mapa final'!$AA$65="Leve"),CONCATENATE("R10C",'Mapa final'!$O$65),"")</f>
        <v/>
      </c>
      <c r="O25" s="71" t="str">
        <f>IF(AND('Mapa final'!$Y$66="Alta",'Mapa final'!$AA$66="Leve"),CONCATENATE("R10C",'Mapa final'!$O$66),"")</f>
        <v/>
      </c>
      <c r="P25" s="69" t="str">
        <f>IF(AND('Mapa final'!$Y$61="Alta",'Mapa final'!$AA$61="Menor"),CONCATENATE("R10C",'Mapa final'!$O$61),"")</f>
        <v/>
      </c>
      <c r="Q25" s="70" t="str">
        <f>IF(AND('Mapa final'!$Y$62="Alta",'Mapa final'!$AA$62="Menor"),CONCATENATE("R10C",'Mapa final'!$O$62),"")</f>
        <v/>
      </c>
      <c r="R25" s="70" t="str">
        <f>IF(AND('Mapa final'!$Y$63="Alta",'Mapa final'!$AA$63="Menor"),CONCATENATE("R10C",'Mapa final'!$O$63),"")</f>
        <v/>
      </c>
      <c r="S25" s="70" t="str">
        <f>IF(AND('Mapa final'!$Y$64="Alta",'Mapa final'!$AA$64="Menor"),CONCATENATE("R10C",'Mapa final'!$O$64),"")</f>
        <v/>
      </c>
      <c r="T25" s="70" t="str">
        <f>IF(AND('Mapa final'!$Y$65="Alta",'Mapa final'!$AA$65="Menor"),CONCATENATE("R10C",'Mapa final'!$O$65),"")</f>
        <v/>
      </c>
      <c r="U25" s="71" t="str">
        <f>IF(AND('Mapa final'!$Y$66="Alta",'Mapa final'!$AA$66="Menor"),CONCATENATE("R10C",'Mapa final'!$O$66),"")</f>
        <v/>
      </c>
      <c r="V25" s="57" t="str">
        <f>IF(AND('Mapa final'!$Y$61="Alta",'Mapa final'!$AA$61="Moderado"),CONCATENATE("R10C",'Mapa final'!$O$61),"")</f>
        <v/>
      </c>
      <c r="W25" s="58" t="str">
        <f>IF(AND('Mapa final'!$Y$62="Alta",'Mapa final'!$AA$62="Moderado"),CONCATENATE("R10C",'Mapa final'!$O$62),"")</f>
        <v/>
      </c>
      <c r="X25" s="58" t="str">
        <f>IF(AND('Mapa final'!$Y$63="Alta",'Mapa final'!$AA$63="Moderado"),CONCATENATE("R10C",'Mapa final'!$O$63),"")</f>
        <v/>
      </c>
      <c r="Y25" s="58" t="str">
        <f>IF(AND('Mapa final'!$Y$64="Alta",'Mapa final'!$AA$64="Moderado"),CONCATENATE("R10C",'Mapa final'!$O$64),"")</f>
        <v/>
      </c>
      <c r="Z25" s="58" t="str">
        <f>IF(AND('Mapa final'!$Y$65="Alta",'Mapa final'!$AA$65="Moderado"),CONCATENATE("R10C",'Mapa final'!$O$65),"")</f>
        <v/>
      </c>
      <c r="AA25" s="59" t="str">
        <f>IF(AND('Mapa final'!$Y$66="Alta",'Mapa final'!$AA$66="Moderado"),CONCATENATE("R10C",'Mapa final'!$O$66),"")</f>
        <v/>
      </c>
      <c r="AB25" s="57" t="str">
        <f>IF(AND('Mapa final'!$Y$61="Alta",'Mapa final'!$AA$61="Mayor"),CONCATENATE("R10C",'Mapa final'!$O$61),"")</f>
        <v/>
      </c>
      <c r="AC25" s="58" t="str">
        <f>IF(AND('Mapa final'!$Y$62="Alta",'Mapa final'!$AA$62="Mayor"),CONCATENATE("R10C",'Mapa final'!$O$62),"")</f>
        <v/>
      </c>
      <c r="AD25" s="58" t="str">
        <f>IF(AND('Mapa final'!$Y$63="Alta",'Mapa final'!$AA$63="Mayor"),CONCATENATE("R10C",'Mapa final'!$O$63),"")</f>
        <v/>
      </c>
      <c r="AE25" s="58" t="str">
        <f>IF(AND('Mapa final'!$Y$64="Alta",'Mapa final'!$AA$64="Mayor"),CONCATENATE("R10C",'Mapa final'!$O$64),"")</f>
        <v/>
      </c>
      <c r="AF25" s="58" t="str">
        <f>IF(AND('Mapa final'!$Y$65="Alta",'Mapa final'!$AA$65="Mayor"),CONCATENATE("R10C",'Mapa final'!$O$65),"")</f>
        <v/>
      </c>
      <c r="AG25" s="59" t="str">
        <f>IF(AND('Mapa final'!$Y$66="Alta",'Mapa final'!$AA$66="Mayor"),CONCATENATE("R10C",'Mapa final'!$O$66),"")</f>
        <v/>
      </c>
      <c r="AH25" s="60" t="str">
        <f>IF(AND('Mapa final'!$Y$61="Alta",'Mapa final'!$AA$61="Catastrófico"),CONCATENATE("R10C",'Mapa final'!$O$61),"")</f>
        <v/>
      </c>
      <c r="AI25" s="61" t="str">
        <f>IF(AND('Mapa final'!$Y$62="Alta",'Mapa final'!$AA$62="Catastrófico"),CONCATENATE("R10C",'Mapa final'!$O$62),"")</f>
        <v/>
      </c>
      <c r="AJ25" s="61" t="str">
        <f>IF(AND('Mapa final'!$Y$63="Alta",'Mapa final'!$AA$63="Catastrófico"),CONCATENATE("R10C",'Mapa final'!$O$63),"")</f>
        <v/>
      </c>
      <c r="AK25" s="61" t="str">
        <f>IF(AND('Mapa final'!$Y$64="Alta",'Mapa final'!$AA$64="Catastrófico"),CONCATENATE("R10C",'Mapa final'!$O$64),"")</f>
        <v/>
      </c>
      <c r="AL25" s="61" t="str">
        <f>IF(AND('Mapa final'!$Y$65="Alta",'Mapa final'!$AA$65="Catastrófico"),CONCATENATE("R10C",'Mapa final'!$O$65),"")</f>
        <v/>
      </c>
      <c r="AM25" s="62" t="str">
        <f>IF(AND('Mapa final'!$Y$66="Alta",'Mapa final'!$AA$66="Catastrófico"),CONCATENATE("R10C",'Mapa final'!$O$66),"")</f>
        <v/>
      </c>
      <c r="AN25" s="82"/>
      <c r="AO25" s="387"/>
      <c r="AP25" s="388"/>
      <c r="AQ25" s="388"/>
      <c r="AR25" s="388"/>
      <c r="AS25" s="388"/>
      <c r="AT25" s="38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95"/>
      <c r="C26" s="295"/>
      <c r="D26" s="296"/>
      <c r="E26" s="390" t="s">
        <v>116</v>
      </c>
      <c r="F26" s="391"/>
      <c r="G26" s="391"/>
      <c r="H26" s="391"/>
      <c r="I26" s="408"/>
      <c r="J26" s="63" t="str">
        <f ca="1">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 ca="1">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 ca="1">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 ca="1">IF(AND('Mapa final'!$Y$10="Media",'Mapa final'!$AA$10="Mayor"),CONCATENATE("R1C",'Mapa final'!$O$10),"")</f>
        <v>R1C1</v>
      </c>
      <c r="AC26" s="46" t="str">
        <f>IF(AND('Mapa final'!$Y$11="Media",'Mapa final'!$AA$11="Mayor"),CONCATENATE("R1C",'Mapa final'!$O$11),"")</f>
        <v>R1C2</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 ca="1">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20" t="s">
        <v>80</v>
      </c>
      <c r="AP26" s="421"/>
      <c r="AQ26" s="421"/>
      <c r="AR26" s="421"/>
      <c r="AS26" s="421"/>
      <c r="AT26" s="42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95"/>
      <c r="C27" s="295"/>
      <c r="D27" s="296"/>
      <c r="E27" s="392"/>
      <c r="F27" s="393"/>
      <c r="G27" s="393"/>
      <c r="H27" s="393"/>
      <c r="I27" s="409"/>
      <c r="J27" s="66" t="str">
        <f ca="1">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 ca="1">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 ca="1">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 ca="1">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 ca="1">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23"/>
      <c r="AP27" s="424"/>
      <c r="AQ27" s="424"/>
      <c r="AR27" s="424"/>
      <c r="AS27" s="424"/>
      <c r="AT27" s="42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95"/>
      <c r="C28" s="295"/>
      <c r="D28" s="296"/>
      <c r="E28" s="394"/>
      <c r="F28" s="393"/>
      <c r="G28" s="393"/>
      <c r="H28" s="393"/>
      <c r="I28" s="409"/>
      <c r="J28" s="66" t="str">
        <f ca="1">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 ca="1">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 ca="1">IF(AND('Mapa final'!$Y$22="Media",'Mapa final'!$AA$22="Moderado"),CONCATENATE("R3C",'Mapa final'!$O$22),"")</f>
        <v>R3C1</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 ca="1">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 ca="1">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23"/>
      <c r="AP28" s="424"/>
      <c r="AQ28" s="424"/>
      <c r="AR28" s="424"/>
      <c r="AS28" s="424"/>
      <c r="AT28" s="42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95"/>
      <c r="C29" s="295"/>
      <c r="D29" s="296"/>
      <c r="E29" s="394"/>
      <c r="F29" s="393"/>
      <c r="G29" s="393"/>
      <c r="H29" s="393"/>
      <c r="I29" s="409"/>
      <c r="J29" s="66" t="str">
        <f ca="1">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 ca="1">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 ca="1">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 ca="1">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 ca="1">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23"/>
      <c r="AP29" s="424"/>
      <c r="AQ29" s="424"/>
      <c r="AR29" s="424"/>
      <c r="AS29" s="424"/>
      <c r="AT29" s="42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95"/>
      <c r="C30" s="295"/>
      <c r="D30" s="296"/>
      <c r="E30" s="394"/>
      <c r="F30" s="393"/>
      <c r="G30" s="393"/>
      <c r="H30" s="393"/>
      <c r="I30" s="409"/>
      <c r="J30" s="66" t="str">
        <f ca="1">IF(AND('Mapa final'!$Y$34="Media",'Mapa final'!$AA$34="Leve"),CONCATENATE("R5C",'Mapa final'!$O$34),"")</f>
        <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str">
        <f>IF(AND('Mapa final'!$Y$35="Media",'Mapa final'!$AA$35="Leve"),CONCATENATE("R5C",'Mapa final'!$O$35),"")</f>
        <v/>
      </c>
      <c r="O30" s="68" t="str">
        <f>IF(AND('Mapa final'!$Y$36="Media",'Mapa final'!$AA$36="Leve"),CONCATENATE("R5C",'Mapa final'!$O$36),"")</f>
        <v/>
      </c>
      <c r="P30" s="66" t="str">
        <f ca="1">IF(AND('Mapa final'!$Y$34="Media",'Mapa final'!$AA$34="Menor"),CONCATENATE("R5C",'Mapa final'!$O$34),"")</f>
        <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str">
        <f>IF(AND('Mapa final'!$Y$35="Media",'Mapa final'!$AA$35="Menor"),CONCATENATE("R5C",'Mapa final'!$O$35),"")</f>
        <v/>
      </c>
      <c r="U30" s="68" t="str">
        <f>IF(AND('Mapa final'!$Y$36="Media",'Mapa final'!$AA$36="Menor"),CONCATENATE("R5C",'Mapa final'!$O$36),"")</f>
        <v/>
      </c>
      <c r="V30" s="66" t="str">
        <f ca="1">IF(AND('Mapa final'!$Y$34="Media",'Mapa final'!$AA$34="Moderado"),CONCATENATE("R5C",'Mapa final'!$O$34),"")</f>
        <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str">
        <f>IF(AND('Mapa final'!$Y$35="Media",'Mapa final'!$AA$35="Moderado"),CONCATENATE("R5C",'Mapa final'!$O$35),"")</f>
        <v/>
      </c>
      <c r="AA30" s="68" t="str">
        <f>IF(AND('Mapa final'!$Y$36="Media",'Mapa final'!$AA$36="Moderado"),CONCATENATE("R5C",'Mapa final'!$O$36),"")</f>
        <v/>
      </c>
      <c r="AB30" s="51" t="str">
        <f ca="1">IF(AND('Mapa final'!$Y$34="Media",'Mapa final'!$AA$34="Mayor"),CONCATENATE("R5C",'Mapa final'!$O$34),"")</f>
        <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str">
        <f>IF(AND('Mapa final'!$Y$35="Media",'Mapa final'!$AA$35="Mayor"),CONCATENATE("R5C",'Mapa final'!$O$35),"")</f>
        <v/>
      </c>
      <c r="AG30" s="53" t="str">
        <f>IF(AND('Mapa final'!$Y$36="Media",'Mapa final'!$AA$36="Mayor"),CONCATENATE("R5C",'Mapa final'!$O$36),"")</f>
        <v/>
      </c>
      <c r="AH30" s="54" t="str">
        <f ca="1">IF(AND('Mapa final'!$Y$34="Media",'Mapa final'!$AA$34="Catastrófico"),CONCATENATE("R5C",'Mapa final'!$O$34),"")</f>
        <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str">
        <f>IF(AND('Mapa final'!$Y$35="Media",'Mapa final'!$AA$35="Catastrófico"),CONCATENATE("R5C",'Mapa final'!$O$35),"")</f>
        <v/>
      </c>
      <c r="AM30" s="56" t="str">
        <f>IF(AND('Mapa final'!$Y$36="Media",'Mapa final'!$AA$36="Catastrófico"),CONCATENATE("R5C",'Mapa final'!$O$36),"")</f>
        <v/>
      </c>
      <c r="AN30" s="82"/>
      <c r="AO30" s="423"/>
      <c r="AP30" s="424"/>
      <c r="AQ30" s="424"/>
      <c r="AR30" s="424"/>
      <c r="AS30" s="424"/>
      <c r="AT30" s="42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95"/>
      <c r="C31" s="295"/>
      <c r="D31" s="296"/>
      <c r="E31" s="394"/>
      <c r="F31" s="393"/>
      <c r="G31" s="393"/>
      <c r="H31" s="393"/>
      <c r="I31" s="409"/>
      <c r="J31" s="66" t="str">
        <f>IF(AND('Mapa final'!$Y$37="Media",'Mapa final'!$AA$37="Leve"),CONCATENATE("R6C",'Mapa final'!$O$37),"")</f>
        <v/>
      </c>
      <c r="K31" s="67" t="str">
        <f>IF(AND('Mapa final'!$Y$38="Media",'Mapa final'!$AA$38="Leve"),CONCATENATE("R6C",'Mapa final'!$O$38),"")</f>
        <v/>
      </c>
      <c r="L31" s="67" t="str">
        <f>IF(AND('Mapa final'!$Y$39="Media",'Mapa final'!$AA$39="Leve"),CONCATENATE("R6C",'Mapa final'!$O$39),"")</f>
        <v/>
      </c>
      <c r="M31" s="67" t="str">
        <f>IF(AND('Mapa final'!$Y$40="Media",'Mapa final'!$AA$40="Leve"),CONCATENATE("R6C",'Mapa final'!$O$40),"")</f>
        <v/>
      </c>
      <c r="N31" s="67" t="str">
        <f>IF(AND('Mapa final'!$Y$41="Media",'Mapa final'!$AA$41="Leve"),CONCATENATE("R6C",'Mapa final'!$O$41),"")</f>
        <v/>
      </c>
      <c r="O31" s="68" t="str">
        <f>IF(AND('Mapa final'!$Y$42="Media",'Mapa final'!$AA$42="Leve"),CONCATENATE("R6C",'Mapa final'!$O$42),"")</f>
        <v/>
      </c>
      <c r="P31" s="66" t="str">
        <f>IF(AND('Mapa final'!$Y$37="Media",'Mapa final'!$AA$37="Menor"),CONCATENATE("R6C",'Mapa final'!$O$37),"")</f>
        <v/>
      </c>
      <c r="Q31" s="67" t="str">
        <f>IF(AND('Mapa final'!$Y$38="Media",'Mapa final'!$AA$38="Menor"),CONCATENATE("R6C",'Mapa final'!$O$38),"")</f>
        <v/>
      </c>
      <c r="R31" s="67" t="str">
        <f>IF(AND('Mapa final'!$Y$39="Media",'Mapa final'!$AA$39="Menor"),CONCATENATE("R6C",'Mapa final'!$O$39),"")</f>
        <v/>
      </c>
      <c r="S31" s="67" t="str">
        <f>IF(AND('Mapa final'!$Y$40="Media",'Mapa final'!$AA$40="Menor"),CONCATENATE("R6C",'Mapa final'!$O$40),"")</f>
        <v/>
      </c>
      <c r="T31" s="67" t="str">
        <f>IF(AND('Mapa final'!$Y$41="Media",'Mapa final'!$AA$41="Menor"),CONCATENATE("R6C",'Mapa final'!$O$41),"")</f>
        <v/>
      </c>
      <c r="U31" s="68" t="str">
        <f>IF(AND('Mapa final'!$Y$42="Media",'Mapa final'!$AA$42="Menor"),CONCATENATE("R6C",'Mapa final'!$O$42),"")</f>
        <v/>
      </c>
      <c r="V31" s="66" t="str">
        <f>IF(AND('Mapa final'!$Y$37="Media",'Mapa final'!$AA$37="Moderado"),CONCATENATE("R6C",'Mapa final'!$O$37),"")</f>
        <v/>
      </c>
      <c r="W31" s="67" t="str">
        <f>IF(AND('Mapa final'!$Y$38="Media",'Mapa final'!$AA$38="Moderado"),CONCATENATE("R6C",'Mapa final'!$O$38),"")</f>
        <v/>
      </c>
      <c r="X31" s="67" t="str">
        <f>IF(AND('Mapa final'!$Y$39="Media",'Mapa final'!$AA$39="Moderado"),CONCATENATE("R6C",'Mapa final'!$O$39),"")</f>
        <v/>
      </c>
      <c r="Y31" s="67" t="str">
        <f>IF(AND('Mapa final'!$Y$40="Media",'Mapa final'!$AA$40="Moderado"),CONCATENATE("R6C",'Mapa final'!$O$40),"")</f>
        <v/>
      </c>
      <c r="Z31" s="67" t="str">
        <f>IF(AND('Mapa final'!$Y$41="Media",'Mapa final'!$AA$41="Moderado"),CONCATENATE("R6C",'Mapa final'!$O$41),"")</f>
        <v/>
      </c>
      <c r="AA31" s="68" t="str">
        <f>IF(AND('Mapa final'!$Y$42="Media",'Mapa final'!$AA$42="Moderado"),CONCATENATE("R6C",'Mapa final'!$O$42),"")</f>
        <v/>
      </c>
      <c r="AB31" s="51" t="str">
        <f>IF(AND('Mapa final'!$Y$37="Media",'Mapa final'!$AA$37="Mayor"),CONCATENATE("R6C",'Mapa final'!$O$37),"")</f>
        <v/>
      </c>
      <c r="AC31" s="52" t="str">
        <f>IF(AND('Mapa final'!$Y$38="Media",'Mapa final'!$AA$38="Mayor"),CONCATENATE("R6C",'Mapa final'!$O$38),"")</f>
        <v/>
      </c>
      <c r="AD31" s="52" t="str">
        <f>IF(AND('Mapa final'!$Y$39="Media",'Mapa final'!$AA$39="Mayor"),CONCATENATE("R6C",'Mapa final'!$O$39),"")</f>
        <v/>
      </c>
      <c r="AE31" s="52" t="str">
        <f>IF(AND('Mapa final'!$Y$40="Media",'Mapa final'!$AA$40="Mayor"),CONCATENATE("R6C",'Mapa final'!$O$40),"")</f>
        <v/>
      </c>
      <c r="AF31" s="52" t="str">
        <f>IF(AND('Mapa final'!$Y$41="Media",'Mapa final'!$AA$41="Mayor"),CONCATENATE("R6C",'Mapa final'!$O$41),"")</f>
        <v/>
      </c>
      <c r="AG31" s="53" t="str">
        <f>IF(AND('Mapa final'!$Y$42="Media",'Mapa final'!$AA$42="Mayor"),CONCATENATE("R6C",'Mapa final'!$O$42),"")</f>
        <v/>
      </c>
      <c r="AH31" s="54" t="str">
        <f>IF(AND('Mapa final'!$Y$37="Media",'Mapa final'!$AA$37="Catastrófico"),CONCATENATE("R6C",'Mapa final'!$O$37),"")</f>
        <v/>
      </c>
      <c r="AI31" s="55" t="str">
        <f>IF(AND('Mapa final'!$Y$38="Media",'Mapa final'!$AA$38="Catastrófico"),CONCATENATE("R6C",'Mapa final'!$O$38),"")</f>
        <v/>
      </c>
      <c r="AJ31" s="55" t="str">
        <f>IF(AND('Mapa final'!$Y$39="Media",'Mapa final'!$AA$39="Catastrófico"),CONCATENATE("R6C",'Mapa final'!$O$39),"")</f>
        <v/>
      </c>
      <c r="AK31" s="55" t="str">
        <f>IF(AND('Mapa final'!$Y$40="Media",'Mapa final'!$AA$40="Catastrófico"),CONCATENATE("R6C",'Mapa final'!$O$40),"")</f>
        <v/>
      </c>
      <c r="AL31" s="55" t="str">
        <f>IF(AND('Mapa final'!$Y$41="Media",'Mapa final'!$AA$41="Catastrófico"),CONCATENATE("R6C",'Mapa final'!$O$41),"")</f>
        <v/>
      </c>
      <c r="AM31" s="56" t="str">
        <f>IF(AND('Mapa final'!$Y$42="Media",'Mapa final'!$AA$42="Catastrófico"),CONCATENATE("R6C",'Mapa final'!$O$42),"")</f>
        <v/>
      </c>
      <c r="AN31" s="82"/>
      <c r="AO31" s="423"/>
      <c r="AP31" s="424"/>
      <c r="AQ31" s="424"/>
      <c r="AR31" s="424"/>
      <c r="AS31" s="424"/>
      <c r="AT31" s="425"/>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95"/>
      <c r="C32" s="295"/>
      <c r="D32" s="296"/>
      <c r="E32" s="394"/>
      <c r="F32" s="393"/>
      <c r="G32" s="393"/>
      <c r="H32" s="393"/>
      <c r="I32" s="409"/>
      <c r="J32" s="66" t="str">
        <f>IF(AND('Mapa final'!$Y$43="Media",'Mapa final'!$AA$43="Leve"),CONCATENATE("R7C",'Mapa final'!$O$43),"")</f>
        <v/>
      </c>
      <c r="K32" s="67" t="str">
        <f>IF(AND('Mapa final'!$Y$44="Media",'Mapa final'!$AA$44="Leve"),CONCATENATE("R7C",'Mapa final'!$O$44),"")</f>
        <v/>
      </c>
      <c r="L32" s="67" t="str">
        <f>IF(AND('Mapa final'!$Y$45="Media",'Mapa final'!$AA$45="Leve"),CONCATENATE("R7C",'Mapa final'!$O$45),"")</f>
        <v/>
      </c>
      <c r="M32" s="67" t="str">
        <f>IF(AND('Mapa final'!$Y$46="Media",'Mapa final'!$AA$46="Leve"),CONCATENATE("R7C",'Mapa final'!$O$46),"")</f>
        <v/>
      </c>
      <c r="N32" s="67" t="str">
        <f>IF(AND('Mapa final'!$Y$47="Media",'Mapa final'!$AA$47="Leve"),CONCATENATE("R7C",'Mapa final'!$O$47),"")</f>
        <v/>
      </c>
      <c r="O32" s="68" t="str">
        <f>IF(AND('Mapa final'!$Y$48="Media",'Mapa final'!$AA$48="Leve"),CONCATENATE("R7C",'Mapa final'!$O$48),"")</f>
        <v/>
      </c>
      <c r="P32" s="66" t="str">
        <f>IF(AND('Mapa final'!$Y$43="Media",'Mapa final'!$AA$43="Menor"),CONCATENATE("R7C",'Mapa final'!$O$43),"")</f>
        <v/>
      </c>
      <c r="Q32" s="67" t="str">
        <f>IF(AND('Mapa final'!$Y$44="Media",'Mapa final'!$AA$44="Menor"),CONCATENATE("R7C",'Mapa final'!$O$44),"")</f>
        <v/>
      </c>
      <c r="R32" s="67" t="str">
        <f>IF(AND('Mapa final'!$Y$45="Media",'Mapa final'!$AA$45="Menor"),CONCATENATE("R7C",'Mapa final'!$O$45),"")</f>
        <v/>
      </c>
      <c r="S32" s="67" t="str">
        <f>IF(AND('Mapa final'!$Y$46="Media",'Mapa final'!$AA$46="Menor"),CONCATENATE("R7C",'Mapa final'!$O$46),"")</f>
        <v/>
      </c>
      <c r="T32" s="67" t="str">
        <f>IF(AND('Mapa final'!$Y$47="Media",'Mapa final'!$AA$47="Menor"),CONCATENATE("R7C",'Mapa final'!$O$47),"")</f>
        <v/>
      </c>
      <c r="U32" s="68" t="str">
        <f>IF(AND('Mapa final'!$Y$48="Media",'Mapa final'!$AA$48="Menor"),CONCATENATE("R7C",'Mapa final'!$O$48),"")</f>
        <v/>
      </c>
      <c r="V32" s="66" t="str">
        <f>IF(AND('Mapa final'!$Y$43="Media",'Mapa final'!$AA$43="Moderado"),CONCATENATE("R7C",'Mapa final'!$O$43),"")</f>
        <v/>
      </c>
      <c r="W32" s="67" t="str">
        <f>IF(AND('Mapa final'!$Y$44="Media",'Mapa final'!$AA$44="Moderado"),CONCATENATE("R7C",'Mapa final'!$O$44),"")</f>
        <v/>
      </c>
      <c r="X32" s="67" t="str">
        <f>IF(AND('Mapa final'!$Y$45="Media",'Mapa final'!$AA$45="Moderado"),CONCATENATE("R7C",'Mapa final'!$O$45),"")</f>
        <v/>
      </c>
      <c r="Y32" s="67" t="str">
        <f>IF(AND('Mapa final'!$Y$46="Media",'Mapa final'!$AA$46="Moderado"),CONCATENATE("R7C",'Mapa final'!$O$46),"")</f>
        <v/>
      </c>
      <c r="Z32" s="67" t="str">
        <f>IF(AND('Mapa final'!$Y$47="Media",'Mapa final'!$AA$47="Moderado"),CONCATENATE("R7C",'Mapa final'!$O$47),"")</f>
        <v/>
      </c>
      <c r="AA32" s="68" t="str">
        <f>IF(AND('Mapa final'!$Y$48="Media",'Mapa final'!$AA$48="Moderado"),CONCATENATE("R7C",'Mapa final'!$O$48),"")</f>
        <v/>
      </c>
      <c r="AB32" s="51" t="str">
        <f>IF(AND('Mapa final'!$Y$43="Media",'Mapa final'!$AA$43="Mayor"),CONCATENATE("R7C",'Mapa final'!$O$43),"")</f>
        <v/>
      </c>
      <c r="AC32" s="52" t="str">
        <f>IF(AND('Mapa final'!$Y$44="Media",'Mapa final'!$AA$44="Mayor"),CONCATENATE("R7C",'Mapa final'!$O$44),"")</f>
        <v/>
      </c>
      <c r="AD32" s="52" t="str">
        <f>IF(AND('Mapa final'!$Y$45="Media",'Mapa final'!$AA$45="Mayor"),CONCATENATE("R7C",'Mapa final'!$O$45),"")</f>
        <v/>
      </c>
      <c r="AE32" s="52" t="str">
        <f>IF(AND('Mapa final'!$Y$46="Media",'Mapa final'!$AA$46="Mayor"),CONCATENATE("R7C",'Mapa final'!$O$46),"")</f>
        <v/>
      </c>
      <c r="AF32" s="52" t="str">
        <f>IF(AND('Mapa final'!$Y$47="Media",'Mapa final'!$AA$47="Mayor"),CONCATENATE("R7C",'Mapa final'!$O$47),"")</f>
        <v/>
      </c>
      <c r="AG32" s="53" t="str">
        <f>IF(AND('Mapa final'!$Y$48="Media",'Mapa final'!$AA$48="Mayor"),CONCATENATE("R7C",'Mapa final'!$O$48),"")</f>
        <v/>
      </c>
      <c r="AH32" s="54" t="str">
        <f>IF(AND('Mapa final'!$Y$43="Media",'Mapa final'!$AA$43="Catastrófico"),CONCATENATE("R7C",'Mapa final'!$O$43),"")</f>
        <v/>
      </c>
      <c r="AI32" s="55" t="str">
        <f>IF(AND('Mapa final'!$Y$44="Media",'Mapa final'!$AA$44="Catastrófico"),CONCATENATE("R7C",'Mapa final'!$O$44),"")</f>
        <v/>
      </c>
      <c r="AJ32" s="55" t="str">
        <f>IF(AND('Mapa final'!$Y$45="Media",'Mapa final'!$AA$45="Catastrófico"),CONCATENATE("R7C",'Mapa final'!$O$45),"")</f>
        <v/>
      </c>
      <c r="AK32" s="55" t="str">
        <f>IF(AND('Mapa final'!$Y$46="Media",'Mapa final'!$AA$46="Catastrófico"),CONCATENATE("R7C",'Mapa final'!$O$46),"")</f>
        <v/>
      </c>
      <c r="AL32" s="55" t="str">
        <f>IF(AND('Mapa final'!$Y$47="Media",'Mapa final'!$AA$47="Catastrófico"),CONCATENATE("R7C",'Mapa final'!$O$47),"")</f>
        <v/>
      </c>
      <c r="AM32" s="56" t="str">
        <f>IF(AND('Mapa final'!$Y$48="Media",'Mapa final'!$AA$48="Catastrófico"),CONCATENATE("R7C",'Mapa final'!$O$48),"")</f>
        <v/>
      </c>
      <c r="AN32" s="82"/>
      <c r="AO32" s="423"/>
      <c r="AP32" s="424"/>
      <c r="AQ32" s="424"/>
      <c r="AR32" s="424"/>
      <c r="AS32" s="424"/>
      <c r="AT32" s="425"/>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95"/>
      <c r="C33" s="295"/>
      <c r="D33" s="296"/>
      <c r="E33" s="394"/>
      <c r="F33" s="393"/>
      <c r="G33" s="393"/>
      <c r="H33" s="393"/>
      <c r="I33" s="409"/>
      <c r="J33" s="66" t="str">
        <f>IF(AND('Mapa final'!$Y$49="Media",'Mapa final'!$AA$49="Leve"),CONCATENATE("R8C",'Mapa final'!$O$49),"")</f>
        <v/>
      </c>
      <c r="K33" s="67" t="str">
        <f>IF(AND('Mapa final'!$Y$50="Media",'Mapa final'!$AA$50="Leve"),CONCATENATE("R8C",'Mapa final'!$O$50),"")</f>
        <v/>
      </c>
      <c r="L33" s="67" t="str">
        <f>IF(AND('Mapa final'!$Y$51="Media",'Mapa final'!$AA$51="Leve"),CONCATENATE("R8C",'Mapa final'!$O$51),"")</f>
        <v/>
      </c>
      <c r="M33" s="67" t="str">
        <f>IF(AND('Mapa final'!$Y$52="Media",'Mapa final'!$AA$52="Leve"),CONCATENATE("R8C",'Mapa final'!$O$52),"")</f>
        <v/>
      </c>
      <c r="N33" s="67" t="str">
        <f>IF(AND('Mapa final'!$Y$53="Media",'Mapa final'!$AA$53="Leve"),CONCATENATE("R8C",'Mapa final'!$O$53),"")</f>
        <v/>
      </c>
      <c r="O33" s="68" t="str">
        <f>IF(AND('Mapa final'!$Y$54="Media",'Mapa final'!$AA$54="Leve"),CONCATENATE("R8C",'Mapa final'!$O$54),"")</f>
        <v/>
      </c>
      <c r="P33" s="66" t="str">
        <f>IF(AND('Mapa final'!$Y$49="Media",'Mapa final'!$AA$49="Menor"),CONCATENATE("R8C",'Mapa final'!$O$49),"")</f>
        <v/>
      </c>
      <c r="Q33" s="67" t="str">
        <f>IF(AND('Mapa final'!$Y$50="Media",'Mapa final'!$AA$50="Menor"),CONCATENATE("R8C",'Mapa final'!$O$50),"")</f>
        <v/>
      </c>
      <c r="R33" s="67" t="str">
        <f>IF(AND('Mapa final'!$Y$51="Media",'Mapa final'!$AA$51="Menor"),CONCATENATE("R8C",'Mapa final'!$O$51),"")</f>
        <v/>
      </c>
      <c r="S33" s="67" t="str">
        <f>IF(AND('Mapa final'!$Y$52="Media",'Mapa final'!$AA$52="Menor"),CONCATENATE("R8C",'Mapa final'!$O$52),"")</f>
        <v/>
      </c>
      <c r="T33" s="67" t="str">
        <f>IF(AND('Mapa final'!$Y$53="Media",'Mapa final'!$AA$53="Menor"),CONCATENATE("R8C",'Mapa final'!$O$53),"")</f>
        <v/>
      </c>
      <c r="U33" s="68" t="str">
        <f>IF(AND('Mapa final'!$Y$54="Media",'Mapa final'!$AA$54="Menor"),CONCATENATE("R8C",'Mapa final'!$O$54),"")</f>
        <v/>
      </c>
      <c r="V33" s="66" t="str">
        <f>IF(AND('Mapa final'!$Y$49="Media",'Mapa final'!$AA$49="Moderado"),CONCATENATE("R8C",'Mapa final'!$O$49),"")</f>
        <v/>
      </c>
      <c r="W33" s="67" t="str">
        <f>IF(AND('Mapa final'!$Y$50="Media",'Mapa final'!$AA$50="Moderado"),CONCATENATE("R8C",'Mapa final'!$O$50),"")</f>
        <v/>
      </c>
      <c r="X33" s="67" t="str">
        <f>IF(AND('Mapa final'!$Y$51="Media",'Mapa final'!$AA$51="Moderado"),CONCATENATE("R8C",'Mapa final'!$O$51),"")</f>
        <v/>
      </c>
      <c r="Y33" s="67" t="str">
        <f>IF(AND('Mapa final'!$Y$52="Media",'Mapa final'!$AA$52="Moderado"),CONCATENATE("R8C",'Mapa final'!$O$52),"")</f>
        <v/>
      </c>
      <c r="Z33" s="67" t="str">
        <f>IF(AND('Mapa final'!$Y$53="Media",'Mapa final'!$AA$53="Moderado"),CONCATENATE("R8C",'Mapa final'!$O$53),"")</f>
        <v/>
      </c>
      <c r="AA33" s="68" t="str">
        <f>IF(AND('Mapa final'!$Y$54="Media",'Mapa final'!$AA$54="Moderado"),CONCATENATE("R8C",'Mapa final'!$O$54),"")</f>
        <v/>
      </c>
      <c r="AB33" s="51" t="str">
        <f>IF(AND('Mapa final'!$Y$49="Media",'Mapa final'!$AA$49="Mayor"),CONCATENATE("R8C",'Mapa final'!$O$49),"")</f>
        <v/>
      </c>
      <c r="AC33" s="52" t="str">
        <f>IF(AND('Mapa final'!$Y$50="Media",'Mapa final'!$AA$50="Mayor"),CONCATENATE("R8C",'Mapa final'!$O$50),"")</f>
        <v/>
      </c>
      <c r="AD33" s="52" t="str">
        <f>IF(AND('Mapa final'!$Y$51="Media",'Mapa final'!$AA$51="Mayor"),CONCATENATE("R8C",'Mapa final'!$O$51),"")</f>
        <v/>
      </c>
      <c r="AE33" s="52" t="str">
        <f>IF(AND('Mapa final'!$Y$52="Media",'Mapa final'!$AA$52="Mayor"),CONCATENATE("R8C",'Mapa final'!$O$52),"")</f>
        <v/>
      </c>
      <c r="AF33" s="52" t="str">
        <f>IF(AND('Mapa final'!$Y$53="Media",'Mapa final'!$AA$53="Mayor"),CONCATENATE("R8C",'Mapa final'!$O$53),"")</f>
        <v/>
      </c>
      <c r="AG33" s="53" t="str">
        <f>IF(AND('Mapa final'!$Y$54="Media",'Mapa final'!$AA$54="Mayor"),CONCATENATE("R8C",'Mapa final'!$O$54),"")</f>
        <v/>
      </c>
      <c r="AH33" s="54" t="str">
        <f>IF(AND('Mapa final'!$Y$49="Media",'Mapa final'!$AA$49="Catastrófico"),CONCATENATE("R8C",'Mapa final'!$O$49),"")</f>
        <v/>
      </c>
      <c r="AI33" s="55" t="str">
        <f>IF(AND('Mapa final'!$Y$50="Media",'Mapa final'!$AA$50="Catastrófico"),CONCATENATE("R8C",'Mapa final'!$O$50),"")</f>
        <v/>
      </c>
      <c r="AJ33" s="55" t="str">
        <f>IF(AND('Mapa final'!$Y$51="Media",'Mapa final'!$AA$51="Catastrófico"),CONCATENATE("R8C",'Mapa final'!$O$51),"")</f>
        <v/>
      </c>
      <c r="AK33" s="55" t="str">
        <f>IF(AND('Mapa final'!$Y$52="Media",'Mapa final'!$AA$52="Catastrófico"),CONCATENATE("R8C",'Mapa final'!$O$52),"")</f>
        <v/>
      </c>
      <c r="AL33" s="55" t="str">
        <f>IF(AND('Mapa final'!$Y$53="Media",'Mapa final'!$AA$53="Catastrófico"),CONCATENATE("R8C",'Mapa final'!$O$53),"")</f>
        <v/>
      </c>
      <c r="AM33" s="56" t="str">
        <f>IF(AND('Mapa final'!$Y$54="Media",'Mapa final'!$AA$54="Catastrófico"),CONCATENATE("R8C",'Mapa final'!$O$54),"")</f>
        <v/>
      </c>
      <c r="AN33" s="82"/>
      <c r="AO33" s="423"/>
      <c r="AP33" s="424"/>
      <c r="AQ33" s="424"/>
      <c r="AR33" s="424"/>
      <c r="AS33" s="424"/>
      <c r="AT33" s="425"/>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95"/>
      <c r="C34" s="295"/>
      <c r="D34" s="296"/>
      <c r="E34" s="394"/>
      <c r="F34" s="393"/>
      <c r="G34" s="393"/>
      <c r="H34" s="393"/>
      <c r="I34" s="409"/>
      <c r="J34" s="66" t="str">
        <f>IF(AND('Mapa final'!$Y$55="Media",'Mapa final'!$AA$55="Leve"),CONCATENATE("R9C",'Mapa final'!$O$55),"")</f>
        <v/>
      </c>
      <c r="K34" s="67" t="str">
        <f>IF(AND('Mapa final'!$Y$56="Media",'Mapa final'!$AA$56="Leve"),CONCATENATE("R9C",'Mapa final'!$O$56),"")</f>
        <v/>
      </c>
      <c r="L34" s="67" t="str">
        <f>IF(AND('Mapa final'!$Y$57="Media",'Mapa final'!$AA$57="Leve"),CONCATENATE("R9C",'Mapa final'!$O$57),"")</f>
        <v/>
      </c>
      <c r="M34" s="67" t="str">
        <f>IF(AND('Mapa final'!$Y$58="Media",'Mapa final'!$AA$58="Leve"),CONCATENATE("R9C",'Mapa final'!$O$58),"")</f>
        <v/>
      </c>
      <c r="N34" s="67" t="str">
        <f>IF(AND('Mapa final'!$Y$59="Media",'Mapa final'!$AA$59="Leve"),CONCATENATE("R9C",'Mapa final'!$O$59),"")</f>
        <v/>
      </c>
      <c r="O34" s="68" t="str">
        <f>IF(AND('Mapa final'!$Y$60="Media",'Mapa final'!$AA$60="Leve"),CONCATENATE("R9C",'Mapa final'!$O$60),"")</f>
        <v/>
      </c>
      <c r="P34" s="66" t="str">
        <f>IF(AND('Mapa final'!$Y$55="Media",'Mapa final'!$AA$55="Menor"),CONCATENATE("R9C",'Mapa final'!$O$55),"")</f>
        <v/>
      </c>
      <c r="Q34" s="67" t="str">
        <f>IF(AND('Mapa final'!$Y$56="Media",'Mapa final'!$AA$56="Menor"),CONCATENATE("R9C",'Mapa final'!$O$56),"")</f>
        <v/>
      </c>
      <c r="R34" s="67" t="str">
        <f>IF(AND('Mapa final'!$Y$57="Media",'Mapa final'!$AA$57="Menor"),CONCATENATE("R9C",'Mapa final'!$O$57),"")</f>
        <v/>
      </c>
      <c r="S34" s="67" t="str">
        <f>IF(AND('Mapa final'!$Y$58="Media",'Mapa final'!$AA$58="Menor"),CONCATENATE("R9C",'Mapa final'!$O$58),"")</f>
        <v/>
      </c>
      <c r="T34" s="67" t="str">
        <f>IF(AND('Mapa final'!$Y$59="Media",'Mapa final'!$AA$59="Menor"),CONCATENATE("R9C",'Mapa final'!$O$59),"")</f>
        <v/>
      </c>
      <c r="U34" s="68" t="str">
        <f>IF(AND('Mapa final'!$Y$60="Media",'Mapa final'!$AA$60="Menor"),CONCATENATE("R9C",'Mapa final'!$O$60),"")</f>
        <v/>
      </c>
      <c r="V34" s="66" t="str">
        <f>IF(AND('Mapa final'!$Y$55="Media",'Mapa final'!$AA$55="Moderado"),CONCATENATE("R9C",'Mapa final'!$O$55),"")</f>
        <v/>
      </c>
      <c r="W34" s="67" t="str">
        <f>IF(AND('Mapa final'!$Y$56="Media",'Mapa final'!$AA$56="Moderado"),CONCATENATE("R9C",'Mapa final'!$O$56),"")</f>
        <v/>
      </c>
      <c r="X34" s="67" t="str">
        <f>IF(AND('Mapa final'!$Y$57="Media",'Mapa final'!$AA$57="Moderado"),CONCATENATE("R9C",'Mapa final'!$O$57),"")</f>
        <v/>
      </c>
      <c r="Y34" s="67" t="str">
        <f>IF(AND('Mapa final'!$Y$58="Media",'Mapa final'!$AA$58="Moderado"),CONCATENATE("R9C",'Mapa final'!$O$58),"")</f>
        <v/>
      </c>
      <c r="Z34" s="67" t="str">
        <f>IF(AND('Mapa final'!$Y$59="Media",'Mapa final'!$AA$59="Moderado"),CONCATENATE("R9C",'Mapa final'!$O$59),"")</f>
        <v/>
      </c>
      <c r="AA34" s="68" t="str">
        <f>IF(AND('Mapa final'!$Y$60="Media",'Mapa final'!$AA$60="Moderado"),CONCATENATE("R9C",'Mapa final'!$O$60),"")</f>
        <v/>
      </c>
      <c r="AB34" s="51" t="str">
        <f>IF(AND('Mapa final'!$Y$55="Media",'Mapa final'!$AA$55="Mayor"),CONCATENATE("R9C",'Mapa final'!$O$55),"")</f>
        <v/>
      </c>
      <c r="AC34" s="52" t="str">
        <f>IF(AND('Mapa final'!$Y$56="Media",'Mapa final'!$AA$56="Mayor"),CONCATENATE("R9C",'Mapa final'!$O$56),"")</f>
        <v/>
      </c>
      <c r="AD34" s="52" t="str">
        <f>IF(AND('Mapa final'!$Y$57="Media",'Mapa final'!$AA$57="Mayor"),CONCATENATE("R9C",'Mapa final'!$O$57),"")</f>
        <v/>
      </c>
      <c r="AE34" s="52" t="str">
        <f>IF(AND('Mapa final'!$Y$58="Media",'Mapa final'!$AA$58="Mayor"),CONCATENATE("R9C",'Mapa final'!$O$58),"")</f>
        <v/>
      </c>
      <c r="AF34" s="52" t="str">
        <f>IF(AND('Mapa final'!$Y$59="Media",'Mapa final'!$AA$59="Mayor"),CONCATENATE("R9C",'Mapa final'!$O$59),"")</f>
        <v/>
      </c>
      <c r="AG34" s="53" t="str">
        <f>IF(AND('Mapa final'!$Y$60="Media",'Mapa final'!$AA$60="Mayor"),CONCATENATE("R9C",'Mapa final'!$O$60),"")</f>
        <v/>
      </c>
      <c r="AH34" s="54" t="str">
        <f>IF(AND('Mapa final'!$Y$55="Media",'Mapa final'!$AA$55="Catastrófico"),CONCATENATE("R9C",'Mapa final'!$O$55),"")</f>
        <v/>
      </c>
      <c r="AI34" s="55" t="str">
        <f>IF(AND('Mapa final'!$Y$56="Media",'Mapa final'!$AA$56="Catastrófico"),CONCATENATE("R9C",'Mapa final'!$O$56),"")</f>
        <v/>
      </c>
      <c r="AJ34" s="55" t="str">
        <f>IF(AND('Mapa final'!$Y$57="Media",'Mapa final'!$AA$57="Catastrófico"),CONCATENATE("R9C",'Mapa final'!$O$57),"")</f>
        <v/>
      </c>
      <c r="AK34" s="55" t="str">
        <f>IF(AND('Mapa final'!$Y$58="Media",'Mapa final'!$AA$58="Catastrófico"),CONCATENATE("R9C",'Mapa final'!$O$58),"")</f>
        <v/>
      </c>
      <c r="AL34" s="55" t="str">
        <f>IF(AND('Mapa final'!$Y$59="Media",'Mapa final'!$AA$59="Catastrófico"),CONCATENATE("R9C",'Mapa final'!$O$59),"")</f>
        <v/>
      </c>
      <c r="AM34" s="56" t="str">
        <f>IF(AND('Mapa final'!$Y$60="Media",'Mapa final'!$AA$60="Catastrófico"),CONCATENATE("R9C",'Mapa final'!$O$60),"")</f>
        <v/>
      </c>
      <c r="AN34" s="82"/>
      <c r="AO34" s="423"/>
      <c r="AP34" s="424"/>
      <c r="AQ34" s="424"/>
      <c r="AR34" s="424"/>
      <c r="AS34" s="424"/>
      <c r="AT34" s="425"/>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95"/>
      <c r="C35" s="295"/>
      <c r="D35" s="296"/>
      <c r="E35" s="395"/>
      <c r="F35" s="396"/>
      <c r="G35" s="396"/>
      <c r="H35" s="396"/>
      <c r="I35" s="410"/>
      <c r="J35" s="66" t="str">
        <f>IF(AND('Mapa final'!$Y$61="Media",'Mapa final'!$AA$61="Leve"),CONCATENATE("R10C",'Mapa final'!$O$61),"")</f>
        <v/>
      </c>
      <c r="K35" s="67" t="str">
        <f>IF(AND('Mapa final'!$Y$62="Media",'Mapa final'!$AA$62="Leve"),CONCATENATE("R10C",'Mapa final'!$O$62),"")</f>
        <v/>
      </c>
      <c r="L35" s="67" t="str">
        <f>IF(AND('Mapa final'!$Y$63="Media",'Mapa final'!$AA$63="Leve"),CONCATENATE("R10C",'Mapa final'!$O$63),"")</f>
        <v/>
      </c>
      <c r="M35" s="67" t="str">
        <f>IF(AND('Mapa final'!$Y$64="Media",'Mapa final'!$AA$64="Leve"),CONCATENATE("R10C",'Mapa final'!$O$64),"")</f>
        <v/>
      </c>
      <c r="N35" s="67" t="str">
        <f>IF(AND('Mapa final'!$Y$65="Media",'Mapa final'!$AA$65="Leve"),CONCATENATE("R10C",'Mapa final'!$O$65),"")</f>
        <v/>
      </c>
      <c r="O35" s="68" t="str">
        <f>IF(AND('Mapa final'!$Y$66="Media",'Mapa final'!$AA$66="Leve"),CONCATENATE("R10C",'Mapa final'!$O$66),"")</f>
        <v/>
      </c>
      <c r="P35" s="66" t="str">
        <f>IF(AND('Mapa final'!$Y$61="Media",'Mapa final'!$AA$61="Menor"),CONCATENATE("R10C",'Mapa final'!$O$61),"")</f>
        <v/>
      </c>
      <c r="Q35" s="67" t="str">
        <f>IF(AND('Mapa final'!$Y$62="Media",'Mapa final'!$AA$62="Menor"),CONCATENATE("R10C",'Mapa final'!$O$62),"")</f>
        <v/>
      </c>
      <c r="R35" s="67" t="str">
        <f>IF(AND('Mapa final'!$Y$63="Media",'Mapa final'!$AA$63="Menor"),CONCATENATE("R10C",'Mapa final'!$O$63),"")</f>
        <v/>
      </c>
      <c r="S35" s="67" t="str">
        <f>IF(AND('Mapa final'!$Y$64="Media",'Mapa final'!$AA$64="Menor"),CONCATENATE("R10C",'Mapa final'!$O$64),"")</f>
        <v/>
      </c>
      <c r="T35" s="67" t="str">
        <f>IF(AND('Mapa final'!$Y$65="Media",'Mapa final'!$AA$65="Menor"),CONCATENATE("R10C",'Mapa final'!$O$65),"")</f>
        <v/>
      </c>
      <c r="U35" s="68" t="str">
        <f>IF(AND('Mapa final'!$Y$66="Media",'Mapa final'!$AA$66="Menor"),CONCATENATE("R10C",'Mapa final'!$O$66),"")</f>
        <v/>
      </c>
      <c r="V35" s="66" t="str">
        <f>IF(AND('Mapa final'!$Y$61="Media",'Mapa final'!$AA$61="Moderado"),CONCATENATE("R10C",'Mapa final'!$O$61),"")</f>
        <v/>
      </c>
      <c r="W35" s="67" t="str">
        <f>IF(AND('Mapa final'!$Y$62="Media",'Mapa final'!$AA$62="Moderado"),CONCATENATE("R10C",'Mapa final'!$O$62),"")</f>
        <v/>
      </c>
      <c r="X35" s="67" t="str">
        <f>IF(AND('Mapa final'!$Y$63="Media",'Mapa final'!$AA$63="Moderado"),CONCATENATE("R10C",'Mapa final'!$O$63),"")</f>
        <v/>
      </c>
      <c r="Y35" s="67" t="str">
        <f>IF(AND('Mapa final'!$Y$64="Media",'Mapa final'!$AA$64="Moderado"),CONCATENATE("R10C",'Mapa final'!$O$64),"")</f>
        <v/>
      </c>
      <c r="Z35" s="67" t="str">
        <f>IF(AND('Mapa final'!$Y$65="Media",'Mapa final'!$AA$65="Moderado"),CONCATENATE("R10C",'Mapa final'!$O$65),"")</f>
        <v/>
      </c>
      <c r="AA35" s="68" t="str">
        <f>IF(AND('Mapa final'!$Y$66="Media",'Mapa final'!$AA$66="Moderado"),CONCATENATE("R10C",'Mapa final'!$O$66),"")</f>
        <v/>
      </c>
      <c r="AB35" s="57" t="str">
        <f>IF(AND('Mapa final'!$Y$61="Media",'Mapa final'!$AA$61="Mayor"),CONCATENATE("R10C",'Mapa final'!$O$61),"")</f>
        <v/>
      </c>
      <c r="AC35" s="58" t="str">
        <f>IF(AND('Mapa final'!$Y$62="Media",'Mapa final'!$AA$62="Mayor"),CONCATENATE("R10C",'Mapa final'!$O$62),"")</f>
        <v/>
      </c>
      <c r="AD35" s="58" t="str">
        <f>IF(AND('Mapa final'!$Y$63="Media",'Mapa final'!$AA$63="Mayor"),CONCATENATE("R10C",'Mapa final'!$O$63),"")</f>
        <v/>
      </c>
      <c r="AE35" s="58" t="str">
        <f>IF(AND('Mapa final'!$Y$64="Media",'Mapa final'!$AA$64="Mayor"),CONCATENATE("R10C",'Mapa final'!$O$64),"")</f>
        <v/>
      </c>
      <c r="AF35" s="58" t="str">
        <f>IF(AND('Mapa final'!$Y$65="Media",'Mapa final'!$AA$65="Mayor"),CONCATENATE("R10C",'Mapa final'!$O$65),"")</f>
        <v/>
      </c>
      <c r="AG35" s="59" t="str">
        <f>IF(AND('Mapa final'!$Y$66="Media",'Mapa final'!$AA$66="Mayor"),CONCATENATE("R10C",'Mapa final'!$O$66),"")</f>
        <v/>
      </c>
      <c r="AH35" s="60" t="str">
        <f>IF(AND('Mapa final'!$Y$61="Media",'Mapa final'!$AA$61="Catastrófico"),CONCATENATE("R10C",'Mapa final'!$O$61),"")</f>
        <v/>
      </c>
      <c r="AI35" s="61" t="str">
        <f>IF(AND('Mapa final'!$Y$62="Media",'Mapa final'!$AA$62="Catastrófico"),CONCATENATE("R10C",'Mapa final'!$O$62),"")</f>
        <v/>
      </c>
      <c r="AJ35" s="61" t="str">
        <f>IF(AND('Mapa final'!$Y$63="Media",'Mapa final'!$AA$63="Catastrófico"),CONCATENATE("R10C",'Mapa final'!$O$63),"")</f>
        <v/>
      </c>
      <c r="AK35" s="61" t="str">
        <f>IF(AND('Mapa final'!$Y$64="Media",'Mapa final'!$AA$64="Catastrófico"),CONCATENATE("R10C",'Mapa final'!$O$64),"")</f>
        <v/>
      </c>
      <c r="AL35" s="61" t="str">
        <f>IF(AND('Mapa final'!$Y$65="Media",'Mapa final'!$AA$65="Catastrófico"),CONCATENATE("R10C",'Mapa final'!$O$65),"")</f>
        <v/>
      </c>
      <c r="AM35" s="62" t="str">
        <f>IF(AND('Mapa final'!$Y$66="Media",'Mapa final'!$AA$66="Catastrófico"),CONCATENATE("R10C",'Mapa final'!$O$66),"")</f>
        <v/>
      </c>
      <c r="AN35" s="82"/>
      <c r="AO35" s="426"/>
      <c r="AP35" s="427"/>
      <c r="AQ35" s="427"/>
      <c r="AR35" s="427"/>
      <c r="AS35" s="427"/>
      <c r="AT35" s="42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95"/>
      <c r="C36" s="295"/>
      <c r="D36" s="296"/>
      <c r="E36" s="390" t="s">
        <v>113</v>
      </c>
      <c r="F36" s="391"/>
      <c r="G36" s="391"/>
      <c r="H36" s="391"/>
      <c r="I36" s="391"/>
      <c r="J36" s="72" t="str">
        <f ca="1">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 ca="1">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 ca="1">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 ca="1">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 ca="1">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11" t="s">
        <v>81</v>
      </c>
      <c r="AP36" s="412"/>
      <c r="AQ36" s="412"/>
      <c r="AR36" s="412"/>
      <c r="AS36" s="412"/>
      <c r="AT36" s="41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95"/>
      <c r="C37" s="295"/>
      <c r="D37" s="296"/>
      <c r="E37" s="392"/>
      <c r="F37" s="393"/>
      <c r="G37" s="393"/>
      <c r="H37" s="393"/>
      <c r="I37" s="393"/>
      <c r="J37" s="75" t="str">
        <f ca="1">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 ca="1">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 ca="1">IF(AND('Mapa final'!$Y$16="Baja",'Mapa final'!$AA$16="Moderado"),CONCATENATE("R2C",'Mapa final'!$O$16),"")</f>
        <v>R2C1</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 ca="1">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 ca="1">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14"/>
      <c r="AP37" s="415"/>
      <c r="AQ37" s="415"/>
      <c r="AR37" s="415"/>
      <c r="AS37" s="415"/>
      <c r="AT37" s="41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95"/>
      <c r="C38" s="295"/>
      <c r="D38" s="296"/>
      <c r="E38" s="394"/>
      <c r="F38" s="393"/>
      <c r="G38" s="393"/>
      <c r="H38" s="393"/>
      <c r="I38" s="393"/>
      <c r="J38" s="75" t="str">
        <f ca="1">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 ca="1">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 ca="1">IF(AND('Mapa final'!$Y$22="Baja",'Mapa final'!$AA$22="Moderado"),CONCATENATE("R3C",'Mapa final'!$O$22),"")</f>
        <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 ca="1">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 ca="1">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14"/>
      <c r="AP38" s="415"/>
      <c r="AQ38" s="415"/>
      <c r="AR38" s="415"/>
      <c r="AS38" s="415"/>
      <c r="AT38" s="416"/>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95"/>
      <c r="C39" s="295"/>
      <c r="D39" s="296"/>
      <c r="E39" s="394"/>
      <c r="F39" s="393"/>
      <c r="G39" s="393"/>
      <c r="H39" s="393"/>
      <c r="I39" s="393"/>
      <c r="J39" s="75" t="str">
        <f ca="1">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 ca="1">IF(AND('Mapa final'!$Y$28="Baja",'Mapa final'!$AA$28="Menor"),CONCATENATE("R4C",'Mapa final'!$O$28),"")</f>
        <v>R4C1</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 ca="1">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 ca="1">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 ca="1">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14"/>
      <c r="AP39" s="415"/>
      <c r="AQ39" s="415"/>
      <c r="AR39" s="415"/>
      <c r="AS39" s="415"/>
      <c r="AT39" s="416"/>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95"/>
      <c r="C40" s="295"/>
      <c r="D40" s="296"/>
      <c r="E40" s="394"/>
      <c r="F40" s="393"/>
      <c r="G40" s="393"/>
      <c r="H40" s="393"/>
      <c r="I40" s="393"/>
      <c r="J40" s="75" t="str">
        <f ca="1">IF(AND('Mapa final'!$Y$34="Baja",'Mapa final'!$AA$34="Leve"),CONCATENATE("R5C",'Mapa final'!$O$34),"")</f>
        <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str">
        <f>IF(AND('Mapa final'!$Y$35="Baja",'Mapa final'!$AA$35="Leve"),CONCATENATE("R5C",'Mapa final'!$O$35),"")</f>
        <v/>
      </c>
      <c r="O40" s="77" t="str">
        <f>IF(AND('Mapa final'!$Y$36="Baja",'Mapa final'!$AA$36="Leve"),CONCATENATE("R5C",'Mapa final'!$O$36),"")</f>
        <v/>
      </c>
      <c r="P40" s="66" t="str">
        <f ca="1">IF(AND('Mapa final'!$Y$34="Baja",'Mapa final'!$AA$34="Menor"),CONCATENATE("R5C",'Mapa final'!$O$34),"")</f>
        <v>R5C1</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str">
        <f>IF(AND('Mapa final'!$Y$35="Baja",'Mapa final'!$AA$35="Menor"),CONCATENATE("R5C",'Mapa final'!$O$35),"")</f>
        <v/>
      </c>
      <c r="U40" s="68" t="str">
        <f>IF(AND('Mapa final'!$Y$36="Baja",'Mapa final'!$AA$36="Menor"),CONCATENATE("R5C",'Mapa final'!$O$36),"")</f>
        <v/>
      </c>
      <c r="V40" s="66" t="str">
        <f ca="1">IF(AND('Mapa final'!$Y$34="Baja",'Mapa final'!$AA$34="Moderado"),CONCATENATE("R5C",'Mapa final'!$O$34),"")</f>
        <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str">
        <f>IF(AND('Mapa final'!$Y$35="Baja",'Mapa final'!$AA$35="Moderado"),CONCATENATE("R5C",'Mapa final'!$O$35),"")</f>
        <v/>
      </c>
      <c r="AA40" s="68" t="str">
        <f>IF(AND('Mapa final'!$Y$36="Baja",'Mapa final'!$AA$36="Moderado"),CONCATENATE("R5C",'Mapa final'!$O$36),"")</f>
        <v/>
      </c>
      <c r="AB40" s="51" t="str">
        <f ca="1">IF(AND('Mapa final'!$Y$34="Baja",'Mapa final'!$AA$34="Mayor"),CONCATENATE("R5C",'Mapa final'!$O$34),"")</f>
        <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str">
        <f>IF(AND('Mapa final'!$Y$35="Baja",'Mapa final'!$AA$35="Mayor"),CONCATENATE("R5C",'Mapa final'!$O$35),"")</f>
        <v/>
      </c>
      <c r="AG40" s="53" t="str">
        <f>IF(AND('Mapa final'!$Y$36="Baja",'Mapa final'!$AA$36="Mayor"),CONCATENATE("R5C",'Mapa final'!$O$36),"")</f>
        <v/>
      </c>
      <c r="AH40" s="54" t="str">
        <f ca="1">IF(AND('Mapa final'!$Y$34="Baja",'Mapa final'!$AA$34="Catastrófico"),CONCATENATE("R5C",'Mapa final'!$O$34),"")</f>
        <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str">
        <f>IF(AND('Mapa final'!$Y$35="Baja",'Mapa final'!$AA$35="Catastrófico"),CONCATENATE("R5C",'Mapa final'!$O$35),"")</f>
        <v/>
      </c>
      <c r="AM40" s="56" t="str">
        <f>IF(AND('Mapa final'!$Y$36="Baja",'Mapa final'!$AA$36="Catastrófico"),CONCATENATE("R5C",'Mapa final'!$O$36),"")</f>
        <v/>
      </c>
      <c r="AN40" s="82"/>
      <c r="AO40" s="414"/>
      <c r="AP40" s="415"/>
      <c r="AQ40" s="415"/>
      <c r="AR40" s="415"/>
      <c r="AS40" s="415"/>
      <c r="AT40" s="416"/>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95"/>
      <c r="C41" s="295"/>
      <c r="D41" s="296"/>
      <c r="E41" s="394"/>
      <c r="F41" s="393"/>
      <c r="G41" s="393"/>
      <c r="H41" s="393"/>
      <c r="I41" s="393"/>
      <c r="J41" s="75" t="str">
        <f>IF(AND('Mapa final'!$Y$37="Baja",'Mapa final'!$AA$37="Leve"),CONCATENATE("R6C",'Mapa final'!$O$37),"")</f>
        <v/>
      </c>
      <c r="K41" s="76" t="str">
        <f>IF(AND('Mapa final'!$Y$38="Baja",'Mapa final'!$AA$38="Leve"),CONCATENATE("R6C",'Mapa final'!$O$38),"")</f>
        <v/>
      </c>
      <c r="L41" s="76" t="str">
        <f>IF(AND('Mapa final'!$Y$39="Baja",'Mapa final'!$AA$39="Leve"),CONCATENATE("R6C",'Mapa final'!$O$39),"")</f>
        <v/>
      </c>
      <c r="M41" s="76" t="str">
        <f>IF(AND('Mapa final'!$Y$40="Baja",'Mapa final'!$AA$40="Leve"),CONCATENATE("R6C",'Mapa final'!$O$40),"")</f>
        <v/>
      </c>
      <c r="N41" s="76" t="str">
        <f>IF(AND('Mapa final'!$Y$41="Baja",'Mapa final'!$AA$41="Leve"),CONCATENATE("R6C",'Mapa final'!$O$41),"")</f>
        <v/>
      </c>
      <c r="O41" s="77" t="str">
        <f>IF(AND('Mapa final'!$Y$42="Baja",'Mapa final'!$AA$42="Leve"),CONCATENATE("R6C",'Mapa final'!$O$42),"")</f>
        <v/>
      </c>
      <c r="P41" s="66" t="str">
        <f>IF(AND('Mapa final'!$Y$37="Baja",'Mapa final'!$AA$37="Menor"),CONCATENATE("R6C",'Mapa final'!$O$37),"")</f>
        <v/>
      </c>
      <c r="Q41" s="67" t="str">
        <f>IF(AND('Mapa final'!$Y$38="Baja",'Mapa final'!$AA$38="Menor"),CONCATENATE("R6C",'Mapa final'!$O$38),"")</f>
        <v/>
      </c>
      <c r="R41" s="67" t="str">
        <f>IF(AND('Mapa final'!$Y$39="Baja",'Mapa final'!$AA$39="Menor"),CONCATENATE("R6C",'Mapa final'!$O$39),"")</f>
        <v/>
      </c>
      <c r="S41" s="67" t="str">
        <f>IF(AND('Mapa final'!$Y$40="Baja",'Mapa final'!$AA$40="Menor"),CONCATENATE("R6C",'Mapa final'!$O$40),"")</f>
        <v/>
      </c>
      <c r="T41" s="67" t="str">
        <f>IF(AND('Mapa final'!$Y$41="Baja",'Mapa final'!$AA$41="Menor"),CONCATENATE("R6C",'Mapa final'!$O$41),"")</f>
        <v/>
      </c>
      <c r="U41" s="68" t="str">
        <f>IF(AND('Mapa final'!$Y$42="Baja",'Mapa final'!$AA$42="Menor"),CONCATENATE("R6C",'Mapa final'!$O$42),"")</f>
        <v/>
      </c>
      <c r="V41" s="66" t="str">
        <f>IF(AND('Mapa final'!$Y$37="Baja",'Mapa final'!$AA$37="Moderado"),CONCATENATE("R6C",'Mapa final'!$O$37),"")</f>
        <v/>
      </c>
      <c r="W41" s="67" t="str">
        <f>IF(AND('Mapa final'!$Y$38="Baja",'Mapa final'!$AA$38="Moderado"),CONCATENATE("R6C",'Mapa final'!$O$38),"")</f>
        <v/>
      </c>
      <c r="X41" s="67" t="str">
        <f>IF(AND('Mapa final'!$Y$39="Baja",'Mapa final'!$AA$39="Moderado"),CONCATENATE("R6C",'Mapa final'!$O$39),"")</f>
        <v/>
      </c>
      <c r="Y41" s="67" t="str">
        <f>IF(AND('Mapa final'!$Y$40="Baja",'Mapa final'!$AA$40="Moderado"),CONCATENATE("R6C",'Mapa final'!$O$40),"")</f>
        <v/>
      </c>
      <c r="Z41" s="67" t="str">
        <f>IF(AND('Mapa final'!$Y$41="Baja",'Mapa final'!$AA$41="Moderado"),CONCATENATE("R6C",'Mapa final'!$O$41),"")</f>
        <v/>
      </c>
      <c r="AA41" s="68" t="str">
        <f>IF(AND('Mapa final'!$Y$42="Baja",'Mapa final'!$AA$42="Moderado"),CONCATENATE("R6C",'Mapa final'!$O$42),"")</f>
        <v/>
      </c>
      <c r="AB41" s="51" t="str">
        <f>IF(AND('Mapa final'!$Y$37="Baja",'Mapa final'!$AA$37="Mayor"),CONCATENATE("R6C",'Mapa final'!$O$37),"")</f>
        <v/>
      </c>
      <c r="AC41" s="52" t="str">
        <f>IF(AND('Mapa final'!$Y$38="Baja",'Mapa final'!$AA$38="Mayor"),CONCATENATE("R6C",'Mapa final'!$O$38),"")</f>
        <v/>
      </c>
      <c r="AD41" s="52" t="str">
        <f>IF(AND('Mapa final'!$Y$39="Baja",'Mapa final'!$AA$39="Mayor"),CONCATENATE("R6C",'Mapa final'!$O$39),"")</f>
        <v/>
      </c>
      <c r="AE41" s="52" t="str">
        <f>IF(AND('Mapa final'!$Y$40="Baja",'Mapa final'!$AA$40="Mayor"),CONCATENATE("R6C",'Mapa final'!$O$40),"")</f>
        <v/>
      </c>
      <c r="AF41" s="52" t="str">
        <f>IF(AND('Mapa final'!$Y$41="Baja",'Mapa final'!$AA$41="Mayor"),CONCATENATE("R6C",'Mapa final'!$O$41),"")</f>
        <v/>
      </c>
      <c r="AG41" s="53" t="str">
        <f>IF(AND('Mapa final'!$Y$42="Baja",'Mapa final'!$AA$42="Mayor"),CONCATENATE("R6C",'Mapa final'!$O$42),"")</f>
        <v/>
      </c>
      <c r="AH41" s="54" t="str">
        <f>IF(AND('Mapa final'!$Y$37="Baja",'Mapa final'!$AA$37="Catastrófico"),CONCATENATE("R6C",'Mapa final'!$O$37),"")</f>
        <v/>
      </c>
      <c r="AI41" s="55" t="str">
        <f>IF(AND('Mapa final'!$Y$38="Baja",'Mapa final'!$AA$38="Catastrófico"),CONCATENATE("R6C",'Mapa final'!$O$38),"")</f>
        <v/>
      </c>
      <c r="AJ41" s="55" t="str">
        <f>IF(AND('Mapa final'!$Y$39="Baja",'Mapa final'!$AA$39="Catastrófico"),CONCATENATE("R6C",'Mapa final'!$O$39),"")</f>
        <v/>
      </c>
      <c r="AK41" s="55" t="str">
        <f>IF(AND('Mapa final'!$Y$40="Baja",'Mapa final'!$AA$40="Catastrófico"),CONCATENATE("R6C",'Mapa final'!$O$40),"")</f>
        <v/>
      </c>
      <c r="AL41" s="55" t="str">
        <f>IF(AND('Mapa final'!$Y$41="Baja",'Mapa final'!$AA$41="Catastrófico"),CONCATENATE("R6C",'Mapa final'!$O$41),"")</f>
        <v/>
      </c>
      <c r="AM41" s="56" t="str">
        <f>IF(AND('Mapa final'!$Y$42="Baja",'Mapa final'!$AA$42="Catastrófico"),CONCATENATE("R6C",'Mapa final'!$O$42),"")</f>
        <v/>
      </c>
      <c r="AN41" s="82"/>
      <c r="AO41" s="414"/>
      <c r="AP41" s="415"/>
      <c r="AQ41" s="415"/>
      <c r="AR41" s="415"/>
      <c r="AS41" s="415"/>
      <c r="AT41" s="416"/>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95"/>
      <c r="C42" s="295"/>
      <c r="D42" s="296"/>
      <c r="E42" s="394"/>
      <c r="F42" s="393"/>
      <c r="G42" s="393"/>
      <c r="H42" s="393"/>
      <c r="I42" s="393"/>
      <c r="J42" s="75" t="str">
        <f>IF(AND('Mapa final'!$Y$43="Baja",'Mapa final'!$AA$43="Leve"),CONCATENATE("R7C",'Mapa final'!$O$43),"")</f>
        <v/>
      </c>
      <c r="K42" s="76" t="str">
        <f>IF(AND('Mapa final'!$Y$44="Baja",'Mapa final'!$AA$44="Leve"),CONCATENATE("R7C",'Mapa final'!$O$44),"")</f>
        <v/>
      </c>
      <c r="L42" s="76" t="str">
        <f>IF(AND('Mapa final'!$Y$45="Baja",'Mapa final'!$AA$45="Leve"),CONCATENATE("R7C",'Mapa final'!$O$45),"")</f>
        <v/>
      </c>
      <c r="M42" s="76" t="str">
        <f>IF(AND('Mapa final'!$Y$46="Baja",'Mapa final'!$AA$46="Leve"),CONCATENATE("R7C",'Mapa final'!$O$46),"")</f>
        <v/>
      </c>
      <c r="N42" s="76" t="str">
        <f>IF(AND('Mapa final'!$Y$47="Baja",'Mapa final'!$AA$47="Leve"),CONCATENATE("R7C",'Mapa final'!$O$47),"")</f>
        <v/>
      </c>
      <c r="O42" s="77" t="str">
        <f>IF(AND('Mapa final'!$Y$48="Baja",'Mapa final'!$AA$48="Leve"),CONCATENATE("R7C",'Mapa final'!$O$48),"")</f>
        <v/>
      </c>
      <c r="P42" s="66" t="str">
        <f>IF(AND('Mapa final'!$Y$43="Baja",'Mapa final'!$AA$43="Menor"),CONCATENATE("R7C",'Mapa final'!$O$43),"")</f>
        <v/>
      </c>
      <c r="Q42" s="67" t="str">
        <f>IF(AND('Mapa final'!$Y$44="Baja",'Mapa final'!$AA$44="Menor"),CONCATENATE("R7C",'Mapa final'!$O$44),"")</f>
        <v/>
      </c>
      <c r="R42" s="67" t="str">
        <f>IF(AND('Mapa final'!$Y$45="Baja",'Mapa final'!$AA$45="Menor"),CONCATENATE("R7C",'Mapa final'!$O$45),"")</f>
        <v/>
      </c>
      <c r="S42" s="67" t="str">
        <f>IF(AND('Mapa final'!$Y$46="Baja",'Mapa final'!$AA$46="Menor"),CONCATENATE("R7C",'Mapa final'!$O$46),"")</f>
        <v/>
      </c>
      <c r="T42" s="67" t="str">
        <f>IF(AND('Mapa final'!$Y$47="Baja",'Mapa final'!$AA$47="Menor"),CONCATENATE("R7C",'Mapa final'!$O$47),"")</f>
        <v/>
      </c>
      <c r="U42" s="68" t="str">
        <f>IF(AND('Mapa final'!$Y$48="Baja",'Mapa final'!$AA$48="Menor"),CONCATENATE("R7C",'Mapa final'!$O$48),"")</f>
        <v/>
      </c>
      <c r="V42" s="66" t="str">
        <f>IF(AND('Mapa final'!$Y$43="Baja",'Mapa final'!$AA$43="Moderado"),CONCATENATE("R7C",'Mapa final'!$O$43),"")</f>
        <v/>
      </c>
      <c r="W42" s="67" t="str">
        <f>IF(AND('Mapa final'!$Y$44="Baja",'Mapa final'!$AA$44="Moderado"),CONCATENATE("R7C",'Mapa final'!$O$44),"")</f>
        <v/>
      </c>
      <c r="X42" s="67" t="str">
        <f>IF(AND('Mapa final'!$Y$45="Baja",'Mapa final'!$AA$45="Moderado"),CONCATENATE("R7C",'Mapa final'!$O$45),"")</f>
        <v/>
      </c>
      <c r="Y42" s="67" t="str">
        <f>IF(AND('Mapa final'!$Y$46="Baja",'Mapa final'!$AA$46="Moderado"),CONCATENATE("R7C",'Mapa final'!$O$46),"")</f>
        <v/>
      </c>
      <c r="Z42" s="67" t="str">
        <f>IF(AND('Mapa final'!$Y$47="Baja",'Mapa final'!$AA$47="Moderado"),CONCATENATE("R7C",'Mapa final'!$O$47),"")</f>
        <v/>
      </c>
      <c r="AA42" s="68" t="str">
        <f>IF(AND('Mapa final'!$Y$48="Baja",'Mapa final'!$AA$48="Moderado"),CONCATENATE("R7C",'Mapa final'!$O$48),"")</f>
        <v/>
      </c>
      <c r="AB42" s="51" t="str">
        <f>IF(AND('Mapa final'!$Y$43="Baja",'Mapa final'!$AA$43="Mayor"),CONCATENATE("R7C",'Mapa final'!$O$43),"")</f>
        <v/>
      </c>
      <c r="AC42" s="52" t="str">
        <f>IF(AND('Mapa final'!$Y$44="Baja",'Mapa final'!$AA$44="Mayor"),CONCATENATE("R7C",'Mapa final'!$O$44),"")</f>
        <v/>
      </c>
      <c r="AD42" s="52" t="str">
        <f>IF(AND('Mapa final'!$Y$45="Baja",'Mapa final'!$AA$45="Mayor"),CONCATENATE("R7C",'Mapa final'!$O$45),"")</f>
        <v/>
      </c>
      <c r="AE42" s="52" t="str">
        <f>IF(AND('Mapa final'!$Y$46="Baja",'Mapa final'!$AA$46="Mayor"),CONCATENATE("R7C",'Mapa final'!$O$46),"")</f>
        <v/>
      </c>
      <c r="AF42" s="52" t="str">
        <f>IF(AND('Mapa final'!$Y$47="Baja",'Mapa final'!$AA$47="Mayor"),CONCATENATE("R7C",'Mapa final'!$O$47),"")</f>
        <v/>
      </c>
      <c r="AG42" s="53" t="str">
        <f>IF(AND('Mapa final'!$Y$48="Baja",'Mapa final'!$AA$48="Mayor"),CONCATENATE("R7C",'Mapa final'!$O$48),"")</f>
        <v/>
      </c>
      <c r="AH42" s="54" t="str">
        <f>IF(AND('Mapa final'!$Y$43="Baja",'Mapa final'!$AA$43="Catastrófico"),CONCATENATE("R7C",'Mapa final'!$O$43),"")</f>
        <v/>
      </c>
      <c r="AI42" s="55" t="str">
        <f>IF(AND('Mapa final'!$Y$44="Baja",'Mapa final'!$AA$44="Catastrófico"),CONCATENATE("R7C",'Mapa final'!$O$44),"")</f>
        <v/>
      </c>
      <c r="AJ42" s="55" t="str">
        <f>IF(AND('Mapa final'!$Y$45="Baja",'Mapa final'!$AA$45="Catastrófico"),CONCATENATE("R7C",'Mapa final'!$O$45),"")</f>
        <v/>
      </c>
      <c r="AK42" s="55" t="str">
        <f>IF(AND('Mapa final'!$Y$46="Baja",'Mapa final'!$AA$46="Catastrófico"),CONCATENATE("R7C",'Mapa final'!$O$46),"")</f>
        <v/>
      </c>
      <c r="AL42" s="55" t="str">
        <f>IF(AND('Mapa final'!$Y$47="Baja",'Mapa final'!$AA$47="Catastrófico"),CONCATENATE("R7C",'Mapa final'!$O$47),"")</f>
        <v/>
      </c>
      <c r="AM42" s="56" t="str">
        <f>IF(AND('Mapa final'!$Y$48="Baja",'Mapa final'!$AA$48="Catastrófico"),CONCATENATE("R7C",'Mapa final'!$O$48),"")</f>
        <v/>
      </c>
      <c r="AN42" s="82"/>
      <c r="AO42" s="414"/>
      <c r="AP42" s="415"/>
      <c r="AQ42" s="415"/>
      <c r="AR42" s="415"/>
      <c r="AS42" s="415"/>
      <c r="AT42" s="416"/>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95"/>
      <c r="C43" s="295"/>
      <c r="D43" s="296"/>
      <c r="E43" s="394"/>
      <c r="F43" s="393"/>
      <c r="G43" s="393"/>
      <c r="H43" s="393"/>
      <c r="I43" s="393"/>
      <c r="J43" s="75" t="str">
        <f>IF(AND('Mapa final'!$Y$49="Baja",'Mapa final'!$AA$49="Leve"),CONCATENATE("R8C",'Mapa final'!$O$49),"")</f>
        <v/>
      </c>
      <c r="K43" s="76" t="str">
        <f>IF(AND('Mapa final'!$Y$50="Baja",'Mapa final'!$AA$50="Leve"),CONCATENATE("R8C",'Mapa final'!$O$50),"")</f>
        <v/>
      </c>
      <c r="L43" s="76" t="str">
        <f>IF(AND('Mapa final'!$Y$51="Baja",'Mapa final'!$AA$51="Leve"),CONCATENATE("R8C",'Mapa final'!$O$51),"")</f>
        <v/>
      </c>
      <c r="M43" s="76" t="str">
        <f>IF(AND('Mapa final'!$Y$52="Baja",'Mapa final'!$AA$52="Leve"),CONCATENATE("R8C",'Mapa final'!$O$52),"")</f>
        <v/>
      </c>
      <c r="N43" s="76" t="str">
        <f>IF(AND('Mapa final'!$Y$53="Baja",'Mapa final'!$AA$53="Leve"),CONCATENATE("R8C",'Mapa final'!$O$53),"")</f>
        <v/>
      </c>
      <c r="O43" s="77" t="str">
        <f>IF(AND('Mapa final'!$Y$54="Baja",'Mapa final'!$AA$54="Leve"),CONCATENATE("R8C",'Mapa final'!$O$54),"")</f>
        <v/>
      </c>
      <c r="P43" s="66" t="str">
        <f>IF(AND('Mapa final'!$Y$49="Baja",'Mapa final'!$AA$49="Menor"),CONCATENATE("R8C",'Mapa final'!$O$49),"")</f>
        <v/>
      </c>
      <c r="Q43" s="67" t="str">
        <f>IF(AND('Mapa final'!$Y$50="Baja",'Mapa final'!$AA$50="Menor"),CONCATENATE("R8C",'Mapa final'!$O$50),"")</f>
        <v/>
      </c>
      <c r="R43" s="67" t="str">
        <f>IF(AND('Mapa final'!$Y$51="Baja",'Mapa final'!$AA$51="Menor"),CONCATENATE("R8C",'Mapa final'!$O$51),"")</f>
        <v/>
      </c>
      <c r="S43" s="67" t="str">
        <f>IF(AND('Mapa final'!$Y$52="Baja",'Mapa final'!$AA$52="Menor"),CONCATENATE("R8C",'Mapa final'!$O$52),"")</f>
        <v/>
      </c>
      <c r="T43" s="67" t="str">
        <f>IF(AND('Mapa final'!$Y$53="Baja",'Mapa final'!$AA$53="Menor"),CONCATENATE("R8C",'Mapa final'!$O$53),"")</f>
        <v/>
      </c>
      <c r="U43" s="68" t="str">
        <f>IF(AND('Mapa final'!$Y$54="Baja",'Mapa final'!$AA$54="Menor"),CONCATENATE("R8C",'Mapa final'!$O$54),"")</f>
        <v/>
      </c>
      <c r="V43" s="66" t="str">
        <f>IF(AND('Mapa final'!$Y$49="Baja",'Mapa final'!$AA$49="Moderado"),CONCATENATE("R8C",'Mapa final'!$O$49),"")</f>
        <v/>
      </c>
      <c r="W43" s="67" t="str">
        <f>IF(AND('Mapa final'!$Y$50="Baja",'Mapa final'!$AA$50="Moderado"),CONCATENATE("R8C",'Mapa final'!$O$50),"")</f>
        <v/>
      </c>
      <c r="X43" s="67" t="str">
        <f>IF(AND('Mapa final'!$Y$51="Baja",'Mapa final'!$AA$51="Moderado"),CONCATENATE("R8C",'Mapa final'!$O$51),"")</f>
        <v/>
      </c>
      <c r="Y43" s="67" t="str">
        <f>IF(AND('Mapa final'!$Y$52="Baja",'Mapa final'!$AA$52="Moderado"),CONCATENATE("R8C",'Mapa final'!$O$52),"")</f>
        <v/>
      </c>
      <c r="Z43" s="67" t="str">
        <f>IF(AND('Mapa final'!$Y$53="Baja",'Mapa final'!$AA$53="Moderado"),CONCATENATE("R8C",'Mapa final'!$O$53),"")</f>
        <v/>
      </c>
      <c r="AA43" s="68" t="str">
        <f>IF(AND('Mapa final'!$Y$54="Baja",'Mapa final'!$AA$54="Moderado"),CONCATENATE("R8C",'Mapa final'!$O$54),"")</f>
        <v/>
      </c>
      <c r="AB43" s="51" t="str">
        <f>IF(AND('Mapa final'!$Y$49="Baja",'Mapa final'!$AA$49="Mayor"),CONCATENATE("R8C",'Mapa final'!$O$49),"")</f>
        <v/>
      </c>
      <c r="AC43" s="52" t="str">
        <f>IF(AND('Mapa final'!$Y$50="Baja",'Mapa final'!$AA$50="Mayor"),CONCATENATE("R8C",'Mapa final'!$O$50),"")</f>
        <v/>
      </c>
      <c r="AD43" s="52" t="str">
        <f>IF(AND('Mapa final'!$Y$51="Baja",'Mapa final'!$AA$51="Mayor"),CONCATENATE("R8C",'Mapa final'!$O$51),"")</f>
        <v/>
      </c>
      <c r="AE43" s="52" t="str">
        <f>IF(AND('Mapa final'!$Y$52="Baja",'Mapa final'!$AA$52="Mayor"),CONCATENATE("R8C",'Mapa final'!$O$52),"")</f>
        <v/>
      </c>
      <c r="AF43" s="52" t="str">
        <f>IF(AND('Mapa final'!$Y$53="Baja",'Mapa final'!$AA$53="Mayor"),CONCATENATE("R8C",'Mapa final'!$O$53),"")</f>
        <v/>
      </c>
      <c r="AG43" s="53" t="str">
        <f>IF(AND('Mapa final'!$Y$54="Baja",'Mapa final'!$AA$54="Mayor"),CONCATENATE("R8C",'Mapa final'!$O$54),"")</f>
        <v/>
      </c>
      <c r="AH43" s="54" t="str">
        <f>IF(AND('Mapa final'!$Y$49="Baja",'Mapa final'!$AA$49="Catastrófico"),CONCATENATE("R8C",'Mapa final'!$O$49),"")</f>
        <v/>
      </c>
      <c r="AI43" s="55" t="str">
        <f>IF(AND('Mapa final'!$Y$50="Baja",'Mapa final'!$AA$50="Catastrófico"),CONCATENATE("R8C",'Mapa final'!$O$50),"")</f>
        <v/>
      </c>
      <c r="AJ43" s="55" t="str">
        <f>IF(AND('Mapa final'!$Y$51="Baja",'Mapa final'!$AA$51="Catastrófico"),CONCATENATE("R8C",'Mapa final'!$O$51),"")</f>
        <v/>
      </c>
      <c r="AK43" s="55" t="str">
        <f>IF(AND('Mapa final'!$Y$52="Baja",'Mapa final'!$AA$52="Catastrófico"),CONCATENATE("R8C",'Mapa final'!$O$52),"")</f>
        <v/>
      </c>
      <c r="AL43" s="55" t="str">
        <f>IF(AND('Mapa final'!$Y$53="Baja",'Mapa final'!$AA$53="Catastrófico"),CONCATENATE("R8C",'Mapa final'!$O$53),"")</f>
        <v/>
      </c>
      <c r="AM43" s="56" t="str">
        <f>IF(AND('Mapa final'!$Y$54="Baja",'Mapa final'!$AA$54="Catastrófico"),CONCATENATE("R8C",'Mapa final'!$O$54),"")</f>
        <v/>
      </c>
      <c r="AN43" s="82"/>
      <c r="AO43" s="414"/>
      <c r="AP43" s="415"/>
      <c r="AQ43" s="415"/>
      <c r="AR43" s="415"/>
      <c r="AS43" s="415"/>
      <c r="AT43" s="416"/>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95"/>
      <c r="C44" s="295"/>
      <c r="D44" s="296"/>
      <c r="E44" s="394"/>
      <c r="F44" s="393"/>
      <c r="G44" s="393"/>
      <c r="H44" s="393"/>
      <c r="I44" s="393"/>
      <c r="J44" s="75" t="str">
        <f>IF(AND('Mapa final'!$Y$55="Baja",'Mapa final'!$AA$55="Leve"),CONCATENATE("R9C",'Mapa final'!$O$55),"")</f>
        <v/>
      </c>
      <c r="K44" s="76" t="str">
        <f>IF(AND('Mapa final'!$Y$56="Baja",'Mapa final'!$AA$56="Leve"),CONCATENATE("R9C",'Mapa final'!$O$56),"")</f>
        <v/>
      </c>
      <c r="L44" s="76" t="str">
        <f>IF(AND('Mapa final'!$Y$57="Baja",'Mapa final'!$AA$57="Leve"),CONCATENATE("R9C",'Mapa final'!$O$57),"")</f>
        <v/>
      </c>
      <c r="M44" s="76" t="str">
        <f>IF(AND('Mapa final'!$Y$58="Baja",'Mapa final'!$AA$58="Leve"),CONCATENATE("R9C",'Mapa final'!$O$58),"")</f>
        <v/>
      </c>
      <c r="N44" s="76" t="str">
        <f>IF(AND('Mapa final'!$Y$59="Baja",'Mapa final'!$AA$59="Leve"),CONCATENATE("R9C",'Mapa final'!$O$59),"")</f>
        <v/>
      </c>
      <c r="O44" s="77" t="str">
        <f>IF(AND('Mapa final'!$Y$60="Baja",'Mapa final'!$AA$60="Leve"),CONCATENATE("R9C",'Mapa final'!$O$60),"")</f>
        <v/>
      </c>
      <c r="P44" s="66" t="str">
        <f>IF(AND('Mapa final'!$Y$55="Baja",'Mapa final'!$AA$55="Menor"),CONCATENATE("R9C",'Mapa final'!$O$55),"")</f>
        <v/>
      </c>
      <c r="Q44" s="67" t="str">
        <f>IF(AND('Mapa final'!$Y$56="Baja",'Mapa final'!$AA$56="Menor"),CONCATENATE("R9C",'Mapa final'!$O$56),"")</f>
        <v/>
      </c>
      <c r="R44" s="67" t="str">
        <f>IF(AND('Mapa final'!$Y$57="Baja",'Mapa final'!$AA$57="Menor"),CONCATENATE("R9C",'Mapa final'!$O$57),"")</f>
        <v/>
      </c>
      <c r="S44" s="67" t="str">
        <f>IF(AND('Mapa final'!$Y$58="Baja",'Mapa final'!$AA$58="Menor"),CONCATENATE("R9C",'Mapa final'!$O$58),"")</f>
        <v/>
      </c>
      <c r="T44" s="67" t="str">
        <f>IF(AND('Mapa final'!$Y$59="Baja",'Mapa final'!$AA$59="Menor"),CONCATENATE("R9C",'Mapa final'!$O$59),"")</f>
        <v/>
      </c>
      <c r="U44" s="68" t="str">
        <f>IF(AND('Mapa final'!$Y$60="Baja",'Mapa final'!$AA$60="Menor"),CONCATENATE("R9C",'Mapa final'!$O$60),"")</f>
        <v/>
      </c>
      <c r="V44" s="66" t="str">
        <f>IF(AND('Mapa final'!$Y$55="Baja",'Mapa final'!$AA$55="Moderado"),CONCATENATE("R9C",'Mapa final'!$O$55),"")</f>
        <v/>
      </c>
      <c r="W44" s="67" t="str">
        <f>IF(AND('Mapa final'!$Y$56="Baja",'Mapa final'!$AA$56="Moderado"),CONCATENATE("R9C",'Mapa final'!$O$56),"")</f>
        <v/>
      </c>
      <c r="X44" s="67" t="str">
        <f>IF(AND('Mapa final'!$Y$57="Baja",'Mapa final'!$AA$57="Moderado"),CONCATENATE("R9C",'Mapa final'!$O$57),"")</f>
        <v/>
      </c>
      <c r="Y44" s="67" t="str">
        <f>IF(AND('Mapa final'!$Y$58="Baja",'Mapa final'!$AA$58="Moderado"),CONCATENATE("R9C",'Mapa final'!$O$58),"")</f>
        <v/>
      </c>
      <c r="Z44" s="67" t="str">
        <f>IF(AND('Mapa final'!$Y$59="Baja",'Mapa final'!$AA$59="Moderado"),CONCATENATE("R9C",'Mapa final'!$O$59),"")</f>
        <v/>
      </c>
      <c r="AA44" s="68" t="str">
        <f>IF(AND('Mapa final'!$Y$60="Baja",'Mapa final'!$AA$60="Moderado"),CONCATENATE("R9C",'Mapa final'!$O$60),"")</f>
        <v/>
      </c>
      <c r="AB44" s="51" t="str">
        <f>IF(AND('Mapa final'!$Y$55="Baja",'Mapa final'!$AA$55="Mayor"),CONCATENATE("R9C",'Mapa final'!$O$55),"")</f>
        <v/>
      </c>
      <c r="AC44" s="52" t="str">
        <f>IF(AND('Mapa final'!$Y$56="Baja",'Mapa final'!$AA$56="Mayor"),CONCATENATE("R9C",'Mapa final'!$O$56),"")</f>
        <v/>
      </c>
      <c r="AD44" s="52" t="str">
        <f>IF(AND('Mapa final'!$Y$57="Baja",'Mapa final'!$AA$57="Mayor"),CONCATENATE("R9C",'Mapa final'!$O$57),"")</f>
        <v/>
      </c>
      <c r="AE44" s="52" t="str">
        <f>IF(AND('Mapa final'!$Y$58="Baja",'Mapa final'!$AA$58="Mayor"),CONCATENATE("R9C",'Mapa final'!$O$58),"")</f>
        <v/>
      </c>
      <c r="AF44" s="52" t="str">
        <f>IF(AND('Mapa final'!$Y$59="Baja",'Mapa final'!$AA$59="Mayor"),CONCATENATE("R9C",'Mapa final'!$O$59),"")</f>
        <v/>
      </c>
      <c r="AG44" s="53" t="str">
        <f>IF(AND('Mapa final'!$Y$60="Baja",'Mapa final'!$AA$60="Mayor"),CONCATENATE("R9C",'Mapa final'!$O$60),"")</f>
        <v/>
      </c>
      <c r="AH44" s="54" t="str">
        <f>IF(AND('Mapa final'!$Y$55="Baja",'Mapa final'!$AA$55="Catastrófico"),CONCATENATE("R9C",'Mapa final'!$O$55),"")</f>
        <v/>
      </c>
      <c r="AI44" s="55" t="str">
        <f>IF(AND('Mapa final'!$Y$56="Baja",'Mapa final'!$AA$56="Catastrófico"),CONCATENATE("R9C",'Mapa final'!$O$56),"")</f>
        <v/>
      </c>
      <c r="AJ44" s="55" t="str">
        <f>IF(AND('Mapa final'!$Y$57="Baja",'Mapa final'!$AA$57="Catastrófico"),CONCATENATE("R9C",'Mapa final'!$O$57),"")</f>
        <v/>
      </c>
      <c r="AK44" s="55" t="str">
        <f>IF(AND('Mapa final'!$Y$58="Baja",'Mapa final'!$AA$58="Catastrófico"),CONCATENATE("R9C",'Mapa final'!$O$58),"")</f>
        <v/>
      </c>
      <c r="AL44" s="55" t="str">
        <f>IF(AND('Mapa final'!$Y$59="Baja",'Mapa final'!$AA$59="Catastrófico"),CONCATENATE("R9C",'Mapa final'!$O$59),"")</f>
        <v/>
      </c>
      <c r="AM44" s="56" t="str">
        <f>IF(AND('Mapa final'!$Y$60="Baja",'Mapa final'!$AA$60="Catastrófico"),CONCATENATE("R9C",'Mapa final'!$O$60),"")</f>
        <v/>
      </c>
      <c r="AN44" s="82"/>
      <c r="AO44" s="414"/>
      <c r="AP44" s="415"/>
      <c r="AQ44" s="415"/>
      <c r="AR44" s="415"/>
      <c r="AS44" s="415"/>
      <c r="AT44" s="416"/>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95"/>
      <c r="C45" s="295"/>
      <c r="D45" s="296"/>
      <c r="E45" s="395"/>
      <c r="F45" s="396"/>
      <c r="G45" s="396"/>
      <c r="H45" s="396"/>
      <c r="I45" s="396"/>
      <c r="J45" s="78" t="str">
        <f>IF(AND('Mapa final'!$Y$61="Baja",'Mapa final'!$AA$61="Leve"),CONCATENATE("R10C",'Mapa final'!$O$61),"")</f>
        <v/>
      </c>
      <c r="K45" s="79" t="str">
        <f>IF(AND('Mapa final'!$Y$62="Baja",'Mapa final'!$AA$62="Leve"),CONCATENATE("R10C",'Mapa final'!$O$62),"")</f>
        <v/>
      </c>
      <c r="L45" s="79" t="str">
        <f>IF(AND('Mapa final'!$Y$63="Baja",'Mapa final'!$AA$63="Leve"),CONCATENATE("R10C",'Mapa final'!$O$63),"")</f>
        <v/>
      </c>
      <c r="M45" s="79" t="str">
        <f>IF(AND('Mapa final'!$Y$64="Baja",'Mapa final'!$AA$64="Leve"),CONCATENATE("R10C",'Mapa final'!$O$64),"")</f>
        <v/>
      </c>
      <c r="N45" s="79" t="str">
        <f>IF(AND('Mapa final'!$Y$65="Baja",'Mapa final'!$AA$65="Leve"),CONCATENATE("R10C",'Mapa final'!$O$65),"")</f>
        <v/>
      </c>
      <c r="O45" s="80" t="str">
        <f>IF(AND('Mapa final'!$Y$66="Baja",'Mapa final'!$AA$66="Leve"),CONCATENATE("R10C",'Mapa final'!$O$66),"")</f>
        <v/>
      </c>
      <c r="P45" s="66" t="str">
        <f>IF(AND('Mapa final'!$Y$61="Baja",'Mapa final'!$AA$61="Menor"),CONCATENATE("R10C",'Mapa final'!$O$61),"")</f>
        <v/>
      </c>
      <c r="Q45" s="67" t="str">
        <f>IF(AND('Mapa final'!$Y$62="Baja",'Mapa final'!$AA$62="Menor"),CONCATENATE("R10C",'Mapa final'!$O$62),"")</f>
        <v/>
      </c>
      <c r="R45" s="67" t="str">
        <f>IF(AND('Mapa final'!$Y$63="Baja",'Mapa final'!$AA$63="Menor"),CONCATENATE("R10C",'Mapa final'!$O$63),"")</f>
        <v/>
      </c>
      <c r="S45" s="67" t="str">
        <f>IF(AND('Mapa final'!$Y$64="Baja",'Mapa final'!$AA$64="Menor"),CONCATENATE("R10C",'Mapa final'!$O$64),"")</f>
        <v/>
      </c>
      <c r="T45" s="67" t="str">
        <f>IF(AND('Mapa final'!$Y$65="Baja",'Mapa final'!$AA$65="Menor"),CONCATENATE("R10C",'Mapa final'!$O$65),"")</f>
        <v/>
      </c>
      <c r="U45" s="68" t="str">
        <f>IF(AND('Mapa final'!$Y$66="Baja",'Mapa final'!$AA$66="Menor"),CONCATENATE("R10C",'Mapa final'!$O$66),"")</f>
        <v/>
      </c>
      <c r="V45" s="69" t="str">
        <f>IF(AND('Mapa final'!$Y$61="Baja",'Mapa final'!$AA$61="Moderado"),CONCATENATE("R10C",'Mapa final'!$O$61),"")</f>
        <v/>
      </c>
      <c r="W45" s="70" t="str">
        <f>IF(AND('Mapa final'!$Y$62="Baja",'Mapa final'!$AA$62="Moderado"),CONCATENATE("R10C",'Mapa final'!$O$62),"")</f>
        <v/>
      </c>
      <c r="X45" s="70" t="str">
        <f>IF(AND('Mapa final'!$Y$63="Baja",'Mapa final'!$AA$63="Moderado"),CONCATENATE("R10C",'Mapa final'!$O$63),"")</f>
        <v/>
      </c>
      <c r="Y45" s="70" t="str">
        <f>IF(AND('Mapa final'!$Y$64="Baja",'Mapa final'!$AA$64="Moderado"),CONCATENATE("R10C",'Mapa final'!$O$64),"")</f>
        <v/>
      </c>
      <c r="Z45" s="70" t="str">
        <f>IF(AND('Mapa final'!$Y$65="Baja",'Mapa final'!$AA$65="Moderado"),CONCATENATE("R10C",'Mapa final'!$O$65),"")</f>
        <v/>
      </c>
      <c r="AA45" s="71" t="str">
        <f>IF(AND('Mapa final'!$Y$66="Baja",'Mapa final'!$AA$66="Moderado"),CONCATENATE("R10C",'Mapa final'!$O$66),"")</f>
        <v/>
      </c>
      <c r="AB45" s="57" t="str">
        <f>IF(AND('Mapa final'!$Y$61="Baja",'Mapa final'!$AA$61="Mayor"),CONCATENATE("R10C",'Mapa final'!$O$61),"")</f>
        <v/>
      </c>
      <c r="AC45" s="58" t="str">
        <f>IF(AND('Mapa final'!$Y$62="Baja",'Mapa final'!$AA$62="Mayor"),CONCATENATE("R10C",'Mapa final'!$O$62),"")</f>
        <v/>
      </c>
      <c r="AD45" s="58" t="str">
        <f>IF(AND('Mapa final'!$Y$63="Baja",'Mapa final'!$AA$63="Mayor"),CONCATENATE("R10C",'Mapa final'!$O$63),"")</f>
        <v/>
      </c>
      <c r="AE45" s="58" t="str">
        <f>IF(AND('Mapa final'!$Y$64="Baja",'Mapa final'!$AA$64="Mayor"),CONCATENATE("R10C",'Mapa final'!$O$64),"")</f>
        <v/>
      </c>
      <c r="AF45" s="58" t="str">
        <f>IF(AND('Mapa final'!$Y$65="Baja",'Mapa final'!$AA$65="Mayor"),CONCATENATE("R10C",'Mapa final'!$O$65),"")</f>
        <v/>
      </c>
      <c r="AG45" s="59" t="str">
        <f>IF(AND('Mapa final'!$Y$66="Baja",'Mapa final'!$AA$66="Mayor"),CONCATENATE("R10C",'Mapa final'!$O$66),"")</f>
        <v/>
      </c>
      <c r="AH45" s="60" t="str">
        <f>IF(AND('Mapa final'!$Y$61="Baja",'Mapa final'!$AA$61="Catastrófico"),CONCATENATE("R10C",'Mapa final'!$O$61),"")</f>
        <v/>
      </c>
      <c r="AI45" s="61" t="str">
        <f>IF(AND('Mapa final'!$Y$62="Baja",'Mapa final'!$AA$62="Catastrófico"),CONCATENATE("R10C",'Mapa final'!$O$62),"")</f>
        <v/>
      </c>
      <c r="AJ45" s="61" t="str">
        <f>IF(AND('Mapa final'!$Y$63="Baja",'Mapa final'!$AA$63="Catastrófico"),CONCATENATE("R10C",'Mapa final'!$O$63),"")</f>
        <v/>
      </c>
      <c r="AK45" s="61" t="str">
        <f>IF(AND('Mapa final'!$Y$64="Baja",'Mapa final'!$AA$64="Catastrófico"),CONCATENATE("R10C",'Mapa final'!$O$64),"")</f>
        <v/>
      </c>
      <c r="AL45" s="61" t="str">
        <f>IF(AND('Mapa final'!$Y$65="Baja",'Mapa final'!$AA$65="Catastrófico"),CONCATENATE("R10C",'Mapa final'!$O$65),"")</f>
        <v/>
      </c>
      <c r="AM45" s="62" t="str">
        <f>IF(AND('Mapa final'!$Y$66="Baja",'Mapa final'!$AA$66="Catastrófico"),CONCATENATE("R10C",'Mapa final'!$O$66),"")</f>
        <v/>
      </c>
      <c r="AN45" s="82"/>
      <c r="AO45" s="417"/>
      <c r="AP45" s="418"/>
      <c r="AQ45" s="418"/>
      <c r="AR45" s="418"/>
      <c r="AS45" s="418"/>
      <c r="AT45" s="419"/>
    </row>
    <row r="46" spans="1:80" ht="46.5" customHeight="1" x14ac:dyDescent="0.35">
      <c r="A46" s="82"/>
      <c r="B46" s="295"/>
      <c r="C46" s="295"/>
      <c r="D46" s="296"/>
      <c r="E46" s="390" t="s">
        <v>112</v>
      </c>
      <c r="F46" s="391"/>
      <c r="G46" s="391"/>
      <c r="H46" s="391"/>
      <c r="I46" s="408"/>
      <c r="J46" s="72" t="str">
        <f ca="1">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 ca="1">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 ca="1">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 ca="1">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 ca="1">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95"/>
      <c r="C47" s="295"/>
      <c r="D47" s="296"/>
      <c r="E47" s="392"/>
      <c r="F47" s="393"/>
      <c r="G47" s="393"/>
      <c r="H47" s="393"/>
      <c r="I47" s="409"/>
      <c r="J47" s="75" t="str">
        <f ca="1">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 ca="1">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 ca="1">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 ca="1">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 ca="1">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95"/>
      <c r="C48" s="295"/>
      <c r="D48" s="296"/>
      <c r="E48" s="392"/>
      <c r="F48" s="393"/>
      <c r="G48" s="393"/>
      <c r="H48" s="393"/>
      <c r="I48" s="409"/>
      <c r="J48" s="75" t="str">
        <f ca="1">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 ca="1">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 ca="1">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 ca="1">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 ca="1">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95"/>
      <c r="C49" s="295"/>
      <c r="D49" s="296"/>
      <c r="E49" s="394"/>
      <c r="F49" s="393"/>
      <c r="G49" s="393"/>
      <c r="H49" s="393"/>
      <c r="I49" s="409"/>
      <c r="J49" s="75" t="str">
        <f ca="1">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 ca="1">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 ca="1">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 ca="1">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 ca="1">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95"/>
      <c r="C50" s="295"/>
      <c r="D50" s="296"/>
      <c r="E50" s="394"/>
      <c r="F50" s="393"/>
      <c r="G50" s="393"/>
      <c r="H50" s="393"/>
      <c r="I50" s="409"/>
      <c r="J50" s="75" t="str">
        <f ca="1">IF(AND('Mapa final'!$Y$34="Muy Baja",'Mapa final'!$AA$34="Leve"),CONCATENATE("R5C",'Mapa final'!$O$34),"")</f>
        <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str">
        <f>IF(AND('Mapa final'!$Y$35="Muy Baja",'Mapa final'!$AA$35="Leve"),CONCATENATE("R5C",'Mapa final'!$O$35),"")</f>
        <v/>
      </c>
      <c r="O50" s="77" t="str">
        <f>IF(AND('Mapa final'!$Y$36="Muy Baja",'Mapa final'!$AA$36="Leve"),CONCATENATE("R5C",'Mapa final'!$O$36),"")</f>
        <v/>
      </c>
      <c r="P50" s="75" t="str">
        <f ca="1">IF(AND('Mapa final'!$Y$34="Muy Baja",'Mapa final'!$AA$34="Menor"),CONCATENATE("R5C",'Mapa final'!$O$34),"")</f>
        <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str">
        <f>IF(AND('Mapa final'!$Y$35="Muy Baja",'Mapa final'!$AA$35="Menor"),CONCATENATE("R5C",'Mapa final'!$O$35),"")</f>
        <v/>
      </c>
      <c r="U50" s="77" t="str">
        <f>IF(AND('Mapa final'!$Y$36="Muy Baja",'Mapa final'!$AA$36="Menor"),CONCATENATE("R5C",'Mapa final'!$O$36),"")</f>
        <v/>
      </c>
      <c r="V50" s="66" t="str">
        <f ca="1">IF(AND('Mapa final'!$Y$34="Muy Baja",'Mapa final'!$AA$34="Moderado"),CONCATENATE("R5C",'Mapa final'!$O$34),"")</f>
        <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str">
        <f>IF(AND('Mapa final'!$Y$35="Muy Baja",'Mapa final'!$AA$35="Moderado"),CONCATENATE("R5C",'Mapa final'!$O$35),"")</f>
        <v/>
      </c>
      <c r="AA50" s="68" t="str">
        <f>IF(AND('Mapa final'!$Y$36="Muy Baja",'Mapa final'!$AA$36="Moderado"),CONCATENATE("R5C",'Mapa final'!$O$36),"")</f>
        <v/>
      </c>
      <c r="AB50" s="51" t="str">
        <f ca="1">IF(AND('Mapa final'!$Y$34="Muy Baja",'Mapa final'!$AA$34="Mayor"),CONCATENATE("R5C",'Mapa final'!$O$34),"")</f>
        <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str">
        <f>IF(AND('Mapa final'!$Y$35="Muy Baja",'Mapa final'!$AA$35="Mayor"),CONCATENATE("R5C",'Mapa final'!$O$35),"")</f>
        <v/>
      </c>
      <c r="AG50" s="53" t="str">
        <f>IF(AND('Mapa final'!$Y$36="Muy Baja",'Mapa final'!$AA$36="Mayor"),CONCATENATE("R5C",'Mapa final'!$O$36),"")</f>
        <v/>
      </c>
      <c r="AH50" s="54" t="str">
        <f ca="1">IF(AND('Mapa final'!$Y$34="Muy Baja",'Mapa final'!$AA$34="Catastrófico"),CONCATENATE("R5C",'Mapa final'!$O$34),"")</f>
        <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str">
        <f>IF(AND('Mapa final'!$Y$35="Muy Baja",'Mapa final'!$AA$35="Catastrófico"),CONCATENATE("R5C",'Mapa final'!$O$35),"")</f>
        <v/>
      </c>
      <c r="AM50" s="56" t="str">
        <f>IF(AND('Mapa final'!$Y$36="Muy Baja",'Mapa final'!$AA$36="Catastrófico"),CONCATENATE("R5C",'Mapa final'!$O$36),"")</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95"/>
      <c r="C51" s="295"/>
      <c r="D51" s="296"/>
      <c r="E51" s="394"/>
      <c r="F51" s="393"/>
      <c r="G51" s="393"/>
      <c r="H51" s="393"/>
      <c r="I51" s="409"/>
      <c r="J51" s="75" t="str">
        <f>IF(AND('Mapa final'!$Y$37="Muy Baja",'Mapa final'!$AA$37="Leve"),CONCATENATE("R6C",'Mapa final'!$O$37),"")</f>
        <v/>
      </c>
      <c r="K51" s="76" t="str">
        <f>IF(AND('Mapa final'!$Y$38="Muy Baja",'Mapa final'!$AA$38="Leve"),CONCATENATE("R6C",'Mapa final'!$O$38),"")</f>
        <v/>
      </c>
      <c r="L51" s="76" t="str">
        <f>IF(AND('Mapa final'!$Y$39="Muy Baja",'Mapa final'!$AA$39="Leve"),CONCATENATE("R6C",'Mapa final'!$O$39),"")</f>
        <v/>
      </c>
      <c r="M51" s="76" t="str">
        <f>IF(AND('Mapa final'!$Y$40="Muy Baja",'Mapa final'!$AA$40="Leve"),CONCATENATE("R6C",'Mapa final'!$O$40),"")</f>
        <v/>
      </c>
      <c r="N51" s="76" t="str">
        <f>IF(AND('Mapa final'!$Y$41="Muy Baja",'Mapa final'!$AA$41="Leve"),CONCATENATE("R6C",'Mapa final'!$O$41),"")</f>
        <v/>
      </c>
      <c r="O51" s="77" t="str">
        <f>IF(AND('Mapa final'!$Y$42="Muy Baja",'Mapa final'!$AA$42="Leve"),CONCATENATE("R6C",'Mapa final'!$O$42),"")</f>
        <v/>
      </c>
      <c r="P51" s="75" t="str">
        <f>IF(AND('Mapa final'!$Y$37="Muy Baja",'Mapa final'!$AA$37="Menor"),CONCATENATE("R6C",'Mapa final'!$O$37),"")</f>
        <v/>
      </c>
      <c r="Q51" s="76" t="str">
        <f>IF(AND('Mapa final'!$Y$38="Muy Baja",'Mapa final'!$AA$38="Menor"),CONCATENATE("R6C",'Mapa final'!$O$38),"")</f>
        <v/>
      </c>
      <c r="R51" s="76" t="str">
        <f>IF(AND('Mapa final'!$Y$39="Muy Baja",'Mapa final'!$AA$39="Menor"),CONCATENATE("R6C",'Mapa final'!$O$39),"")</f>
        <v/>
      </c>
      <c r="S51" s="76" t="str">
        <f>IF(AND('Mapa final'!$Y$40="Muy Baja",'Mapa final'!$AA$40="Menor"),CONCATENATE("R6C",'Mapa final'!$O$40),"")</f>
        <v/>
      </c>
      <c r="T51" s="76" t="str">
        <f>IF(AND('Mapa final'!$Y$41="Muy Baja",'Mapa final'!$AA$41="Menor"),CONCATENATE("R6C",'Mapa final'!$O$41),"")</f>
        <v/>
      </c>
      <c r="U51" s="77" t="str">
        <f>IF(AND('Mapa final'!$Y$42="Muy Baja",'Mapa final'!$AA$42="Menor"),CONCATENATE("R6C",'Mapa final'!$O$42),"")</f>
        <v/>
      </c>
      <c r="V51" s="66" t="str">
        <f>IF(AND('Mapa final'!$Y$37="Muy Baja",'Mapa final'!$AA$37="Moderado"),CONCATENATE("R6C",'Mapa final'!$O$37),"")</f>
        <v/>
      </c>
      <c r="W51" s="67" t="str">
        <f>IF(AND('Mapa final'!$Y$38="Muy Baja",'Mapa final'!$AA$38="Moderado"),CONCATENATE("R6C",'Mapa final'!$O$38),"")</f>
        <v/>
      </c>
      <c r="X51" s="67" t="str">
        <f>IF(AND('Mapa final'!$Y$39="Muy Baja",'Mapa final'!$AA$39="Moderado"),CONCATENATE("R6C",'Mapa final'!$O$39),"")</f>
        <v/>
      </c>
      <c r="Y51" s="67" t="str">
        <f>IF(AND('Mapa final'!$Y$40="Muy Baja",'Mapa final'!$AA$40="Moderado"),CONCATENATE("R6C",'Mapa final'!$O$40),"")</f>
        <v/>
      </c>
      <c r="Z51" s="67" t="str">
        <f>IF(AND('Mapa final'!$Y$41="Muy Baja",'Mapa final'!$AA$41="Moderado"),CONCATENATE("R6C",'Mapa final'!$O$41),"")</f>
        <v/>
      </c>
      <c r="AA51" s="68" t="str">
        <f>IF(AND('Mapa final'!$Y$42="Muy Baja",'Mapa final'!$AA$42="Moderado"),CONCATENATE("R6C",'Mapa final'!$O$42),"")</f>
        <v/>
      </c>
      <c r="AB51" s="51" t="str">
        <f>IF(AND('Mapa final'!$Y$37="Muy Baja",'Mapa final'!$AA$37="Mayor"),CONCATENATE("R6C",'Mapa final'!$O$37),"")</f>
        <v/>
      </c>
      <c r="AC51" s="52" t="str">
        <f>IF(AND('Mapa final'!$Y$38="Muy Baja",'Mapa final'!$AA$38="Mayor"),CONCATENATE("R6C",'Mapa final'!$O$38),"")</f>
        <v/>
      </c>
      <c r="AD51" s="52" t="str">
        <f>IF(AND('Mapa final'!$Y$39="Muy Baja",'Mapa final'!$AA$39="Mayor"),CONCATENATE("R6C",'Mapa final'!$O$39),"")</f>
        <v/>
      </c>
      <c r="AE51" s="52" t="str">
        <f>IF(AND('Mapa final'!$Y$40="Muy Baja",'Mapa final'!$AA$40="Mayor"),CONCATENATE("R6C",'Mapa final'!$O$40),"")</f>
        <v/>
      </c>
      <c r="AF51" s="52" t="str">
        <f>IF(AND('Mapa final'!$Y$41="Muy Baja",'Mapa final'!$AA$41="Mayor"),CONCATENATE("R6C",'Mapa final'!$O$41),"")</f>
        <v/>
      </c>
      <c r="AG51" s="53" t="str">
        <f>IF(AND('Mapa final'!$Y$42="Muy Baja",'Mapa final'!$AA$42="Mayor"),CONCATENATE("R6C",'Mapa final'!$O$42),"")</f>
        <v/>
      </c>
      <c r="AH51" s="54" t="str">
        <f>IF(AND('Mapa final'!$Y$37="Muy Baja",'Mapa final'!$AA$37="Catastrófico"),CONCATENATE("R6C",'Mapa final'!$O$37),"")</f>
        <v/>
      </c>
      <c r="AI51" s="55" t="str">
        <f>IF(AND('Mapa final'!$Y$38="Muy Baja",'Mapa final'!$AA$38="Catastrófico"),CONCATENATE("R6C",'Mapa final'!$O$38),"")</f>
        <v/>
      </c>
      <c r="AJ51" s="55" t="str">
        <f>IF(AND('Mapa final'!$Y$39="Muy Baja",'Mapa final'!$AA$39="Catastrófico"),CONCATENATE("R6C",'Mapa final'!$O$39),"")</f>
        <v/>
      </c>
      <c r="AK51" s="55" t="str">
        <f>IF(AND('Mapa final'!$Y$40="Muy Baja",'Mapa final'!$AA$40="Catastrófico"),CONCATENATE("R6C",'Mapa final'!$O$40),"")</f>
        <v/>
      </c>
      <c r="AL51" s="55" t="str">
        <f>IF(AND('Mapa final'!$Y$41="Muy Baja",'Mapa final'!$AA$41="Catastrófico"),CONCATENATE("R6C",'Mapa final'!$O$41),"")</f>
        <v/>
      </c>
      <c r="AM51" s="56" t="str">
        <f>IF(AND('Mapa final'!$Y$42="Muy Baja",'Mapa final'!$AA$42="Catastrófico"),CONCATENATE("R6C",'Mapa final'!$O$42),"")</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95"/>
      <c r="C52" s="295"/>
      <c r="D52" s="296"/>
      <c r="E52" s="394"/>
      <c r="F52" s="393"/>
      <c r="G52" s="393"/>
      <c r="H52" s="393"/>
      <c r="I52" s="409"/>
      <c r="J52" s="75" t="str">
        <f>IF(AND('Mapa final'!$Y$43="Muy Baja",'Mapa final'!$AA$43="Leve"),CONCATENATE("R7C",'Mapa final'!$O$43),"")</f>
        <v/>
      </c>
      <c r="K52" s="76" t="str">
        <f>IF(AND('Mapa final'!$Y$44="Muy Baja",'Mapa final'!$AA$44="Leve"),CONCATENATE("R7C",'Mapa final'!$O$44),"")</f>
        <v/>
      </c>
      <c r="L52" s="76" t="str">
        <f>IF(AND('Mapa final'!$Y$45="Muy Baja",'Mapa final'!$AA$45="Leve"),CONCATENATE("R7C",'Mapa final'!$O$45),"")</f>
        <v/>
      </c>
      <c r="M52" s="76" t="str">
        <f>IF(AND('Mapa final'!$Y$46="Muy Baja",'Mapa final'!$AA$46="Leve"),CONCATENATE("R7C",'Mapa final'!$O$46),"")</f>
        <v/>
      </c>
      <c r="N52" s="76" t="str">
        <f>IF(AND('Mapa final'!$Y$47="Muy Baja",'Mapa final'!$AA$47="Leve"),CONCATENATE("R7C",'Mapa final'!$O$47),"")</f>
        <v/>
      </c>
      <c r="O52" s="77" t="str">
        <f>IF(AND('Mapa final'!$Y$48="Muy Baja",'Mapa final'!$AA$48="Leve"),CONCATENATE("R7C",'Mapa final'!$O$48),"")</f>
        <v/>
      </c>
      <c r="P52" s="75" t="str">
        <f>IF(AND('Mapa final'!$Y$43="Muy Baja",'Mapa final'!$AA$43="Menor"),CONCATENATE("R7C",'Mapa final'!$O$43),"")</f>
        <v/>
      </c>
      <c r="Q52" s="76" t="str">
        <f>IF(AND('Mapa final'!$Y$44="Muy Baja",'Mapa final'!$AA$44="Menor"),CONCATENATE("R7C",'Mapa final'!$O$44),"")</f>
        <v/>
      </c>
      <c r="R52" s="76" t="str">
        <f>IF(AND('Mapa final'!$Y$45="Muy Baja",'Mapa final'!$AA$45="Menor"),CONCATENATE("R7C",'Mapa final'!$O$45),"")</f>
        <v/>
      </c>
      <c r="S52" s="76" t="str">
        <f>IF(AND('Mapa final'!$Y$46="Muy Baja",'Mapa final'!$AA$46="Menor"),CONCATENATE("R7C",'Mapa final'!$O$46),"")</f>
        <v/>
      </c>
      <c r="T52" s="76" t="str">
        <f>IF(AND('Mapa final'!$Y$47="Muy Baja",'Mapa final'!$AA$47="Menor"),CONCATENATE("R7C",'Mapa final'!$O$47),"")</f>
        <v/>
      </c>
      <c r="U52" s="77" t="str">
        <f>IF(AND('Mapa final'!$Y$48="Muy Baja",'Mapa final'!$AA$48="Menor"),CONCATENATE("R7C",'Mapa final'!$O$48),"")</f>
        <v/>
      </c>
      <c r="V52" s="66" t="str">
        <f>IF(AND('Mapa final'!$Y$43="Muy Baja",'Mapa final'!$AA$43="Moderado"),CONCATENATE("R7C",'Mapa final'!$O$43),"")</f>
        <v/>
      </c>
      <c r="W52" s="67" t="str">
        <f>IF(AND('Mapa final'!$Y$44="Muy Baja",'Mapa final'!$AA$44="Moderado"),CONCATENATE("R7C",'Mapa final'!$O$44),"")</f>
        <v/>
      </c>
      <c r="X52" s="67" t="str">
        <f>IF(AND('Mapa final'!$Y$45="Muy Baja",'Mapa final'!$AA$45="Moderado"),CONCATENATE("R7C",'Mapa final'!$O$45),"")</f>
        <v/>
      </c>
      <c r="Y52" s="67" t="str">
        <f>IF(AND('Mapa final'!$Y$46="Muy Baja",'Mapa final'!$AA$46="Moderado"),CONCATENATE("R7C",'Mapa final'!$O$46),"")</f>
        <v/>
      </c>
      <c r="Z52" s="67" t="str">
        <f>IF(AND('Mapa final'!$Y$47="Muy Baja",'Mapa final'!$AA$47="Moderado"),CONCATENATE("R7C",'Mapa final'!$O$47),"")</f>
        <v/>
      </c>
      <c r="AA52" s="68" t="str">
        <f>IF(AND('Mapa final'!$Y$48="Muy Baja",'Mapa final'!$AA$48="Moderado"),CONCATENATE("R7C",'Mapa final'!$O$48),"")</f>
        <v/>
      </c>
      <c r="AB52" s="51" t="str">
        <f>IF(AND('Mapa final'!$Y$43="Muy Baja",'Mapa final'!$AA$43="Mayor"),CONCATENATE("R7C",'Mapa final'!$O$43),"")</f>
        <v/>
      </c>
      <c r="AC52" s="52" t="str">
        <f>IF(AND('Mapa final'!$Y$44="Muy Baja",'Mapa final'!$AA$44="Mayor"),CONCATENATE("R7C",'Mapa final'!$O$44),"")</f>
        <v/>
      </c>
      <c r="AD52" s="52" t="str">
        <f>IF(AND('Mapa final'!$Y$45="Muy Baja",'Mapa final'!$AA$45="Mayor"),CONCATENATE("R7C",'Mapa final'!$O$45),"")</f>
        <v/>
      </c>
      <c r="AE52" s="52" t="str">
        <f>IF(AND('Mapa final'!$Y$46="Muy Baja",'Mapa final'!$AA$46="Mayor"),CONCATENATE("R7C",'Mapa final'!$O$46),"")</f>
        <v/>
      </c>
      <c r="AF52" s="52" t="str">
        <f>IF(AND('Mapa final'!$Y$47="Muy Baja",'Mapa final'!$AA$47="Mayor"),CONCATENATE("R7C",'Mapa final'!$O$47),"")</f>
        <v/>
      </c>
      <c r="AG52" s="53" t="str">
        <f>IF(AND('Mapa final'!$Y$48="Muy Baja",'Mapa final'!$AA$48="Mayor"),CONCATENATE("R7C",'Mapa final'!$O$48),"")</f>
        <v/>
      </c>
      <c r="AH52" s="54" t="str">
        <f>IF(AND('Mapa final'!$Y$43="Muy Baja",'Mapa final'!$AA$43="Catastrófico"),CONCATENATE("R7C",'Mapa final'!$O$43),"")</f>
        <v/>
      </c>
      <c r="AI52" s="55" t="str">
        <f>IF(AND('Mapa final'!$Y$44="Muy Baja",'Mapa final'!$AA$44="Catastrófico"),CONCATENATE("R7C",'Mapa final'!$O$44),"")</f>
        <v/>
      </c>
      <c r="AJ52" s="55" t="str">
        <f>IF(AND('Mapa final'!$Y$45="Muy Baja",'Mapa final'!$AA$45="Catastrófico"),CONCATENATE("R7C",'Mapa final'!$O$45),"")</f>
        <v/>
      </c>
      <c r="AK52" s="55" t="str">
        <f>IF(AND('Mapa final'!$Y$46="Muy Baja",'Mapa final'!$AA$46="Catastrófico"),CONCATENATE("R7C",'Mapa final'!$O$46),"")</f>
        <v/>
      </c>
      <c r="AL52" s="55" t="str">
        <f>IF(AND('Mapa final'!$Y$47="Muy Baja",'Mapa final'!$AA$47="Catastrófico"),CONCATENATE("R7C",'Mapa final'!$O$47),"")</f>
        <v/>
      </c>
      <c r="AM52" s="56" t="str">
        <f>IF(AND('Mapa final'!$Y$48="Muy Baja",'Mapa final'!$AA$48="Catastrófico"),CONCATENATE("R7C",'Mapa final'!$O$48),"")</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95"/>
      <c r="C53" s="295"/>
      <c r="D53" s="296"/>
      <c r="E53" s="394"/>
      <c r="F53" s="393"/>
      <c r="G53" s="393"/>
      <c r="H53" s="393"/>
      <c r="I53" s="409"/>
      <c r="J53" s="75" t="str">
        <f>IF(AND('Mapa final'!$Y$49="Muy Baja",'Mapa final'!$AA$49="Leve"),CONCATENATE("R8C",'Mapa final'!$O$49),"")</f>
        <v/>
      </c>
      <c r="K53" s="76" t="str">
        <f>IF(AND('Mapa final'!$Y$50="Muy Baja",'Mapa final'!$AA$50="Leve"),CONCATENATE("R8C",'Mapa final'!$O$50),"")</f>
        <v/>
      </c>
      <c r="L53" s="76" t="str">
        <f>IF(AND('Mapa final'!$Y$51="Muy Baja",'Mapa final'!$AA$51="Leve"),CONCATENATE("R8C",'Mapa final'!$O$51),"")</f>
        <v/>
      </c>
      <c r="M53" s="76" t="str">
        <f>IF(AND('Mapa final'!$Y$52="Muy Baja",'Mapa final'!$AA$52="Leve"),CONCATENATE("R8C",'Mapa final'!$O$52),"")</f>
        <v/>
      </c>
      <c r="N53" s="76" t="str">
        <f>IF(AND('Mapa final'!$Y$53="Muy Baja",'Mapa final'!$AA$53="Leve"),CONCATENATE("R8C",'Mapa final'!$O$53),"")</f>
        <v/>
      </c>
      <c r="O53" s="77" t="str">
        <f>IF(AND('Mapa final'!$Y$54="Muy Baja",'Mapa final'!$AA$54="Leve"),CONCATENATE("R8C",'Mapa final'!$O$54),"")</f>
        <v/>
      </c>
      <c r="P53" s="75" t="str">
        <f>IF(AND('Mapa final'!$Y$49="Muy Baja",'Mapa final'!$AA$49="Menor"),CONCATENATE("R8C",'Mapa final'!$O$49),"")</f>
        <v/>
      </c>
      <c r="Q53" s="76" t="str">
        <f>IF(AND('Mapa final'!$Y$50="Muy Baja",'Mapa final'!$AA$50="Menor"),CONCATENATE("R8C",'Mapa final'!$O$50),"")</f>
        <v/>
      </c>
      <c r="R53" s="76" t="str">
        <f>IF(AND('Mapa final'!$Y$51="Muy Baja",'Mapa final'!$AA$51="Menor"),CONCATENATE("R8C",'Mapa final'!$O$51),"")</f>
        <v/>
      </c>
      <c r="S53" s="76" t="str">
        <f>IF(AND('Mapa final'!$Y$52="Muy Baja",'Mapa final'!$AA$52="Menor"),CONCATENATE("R8C",'Mapa final'!$O$52),"")</f>
        <v/>
      </c>
      <c r="T53" s="76" t="str">
        <f>IF(AND('Mapa final'!$Y$53="Muy Baja",'Mapa final'!$AA$53="Menor"),CONCATENATE("R8C",'Mapa final'!$O$53),"")</f>
        <v/>
      </c>
      <c r="U53" s="77" t="str">
        <f>IF(AND('Mapa final'!$Y$54="Muy Baja",'Mapa final'!$AA$54="Menor"),CONCATENATE("R8C",'Mapa final'!$O$54),"")</f>
        <v/>
      </c>
      <c r="V53" s="66" t="str">
        <f>IF(AND('Mapa final'!$Y$49="Muy Baja",'Mapa final'!$AA$49="Moderado"),CONCATENATE("R8C",'Mapa final'!$O$49),"")</f>
        <v/>
      </c>
      <c r="W53" s="67" t="str">
        <f>IF(AND('Mapa final'!$Y$50="Muy Baja",'Mapa final'!$AA$50="Moderado"),CONCATENATE("R8C",'Mapa final'!$O$50),"")</f>
        <v/>
      </c>
      <c r="X53" s="67" t="str">
        <f>IF(AND('Mapa final'!$Y$51="Muy Baja",'Mapa final'!$AA$51="Moderado"),CONCATENATE("R8C",'Mapa final'!$O$51),"")</f>
        <v/>
      </c>
      <c r="Y53" s="67" t="str">
        <f>IF(AND('Mapa final'!$Y$52="Muy Baja",'Mapa final'!$AA$52="Moderado"),CONCATENATE("R8C",'Mapa final'!$O$52),"")</f>
        <v/>
      </c>
      <c r="Z53" s="67" t="str">
        <f>IF(AND('Mapa final'!$Y$53="Muy Baja",'Mapa final'!$AA$53="Moderado"),CONCATENATE("R8C",'Mapa final'!$O$53),"")</f>
        <v/>
      </c>
      <c r="AA53" s="68" t="str">
        <f>IF(AND('Mapa final'!$Y$54="Muy Baja",'Mapa final'!$AA$54="Moderado"),CONCATENATE("R8C",'Mapa final'!$O$54),"")</f>
        <v/>
      </c>
      <c r="AB53" s="51" t="str">
        <f>IF(AND('Mapa final'!$Y$49="Muy Baja",'Mapa final'!$AA$49="Mayor"),CONCATENATE("R8C",'Mapa final'!$O$49),"")</f>
        <v/>
      </c>
      <c r="AC53" s="52" t="str">
        <f>IF(AND('Mapa final'!$Y$50="Muy Baja",'Mapa final'!$AA$50="Mayor"),CONCATENATE("R8C",'Mapa final'!$O$50),"")</f>
        <v/>
      </c>
      <c r="AD53" s="52" t="str">
        <f>IF(AND('Mapa final'!$Y$51="Muy Baja",'Mapa final'!$AA$51="Mayor"),CONCATENATE("R8C",'Mapa final'!$O$51),"")</f>
        <v/>
      </c>
      <c r="AE53" s="52" t="str">
        <f>IF(AND('Mapa final'!$Y$52="Muy Baja",'Mapa final'!$AA$52="Mayor"),CONCATENATE("R8C",'Mapa final'!$O$52),"")</f>
        <v/>
      </c>
      <c r="AF53" s="52" t="str">
        <f>IF(AND('Mapa final'!$Y$53="Muy Baja",'Mapa final'!$AA$53="Mayor"),CONCATENATE("R8C",'Mapa final'!$O$53),"")</f>
        <v/>
      </c>
      <c r="AG53" s="53" t="str">
        <f>IF(AND('Mapa final'!$Y$54="Muy Baja",'Mapa final'!$AA$54="Mayor"),CONCATENATE("R8C",'Mapa final'!$O$54),"")</f>
        <v/>
      </c>
      <c r="AH53" s="54" t="str">
        <f>IF(AND('Mapa final'!$Y$49="Muy Baja",'Mapa final'!$AA$49="Catastrófico"),CONCATENATE("R8C",'Mapa final'!$O$49),"")</f>
        <v/>
      </c>
      <c r="AI53" s="55" t="str">
        <f>IF(AND('Mapa final'!$Y$50="Muy Baja",'Mapa final'!$AA$50="Catastrófico"),CONCATENATE("R8C",'Mapa final'!$O$50),"")</f>
        <v/>
      </c>
      <c r="AJ53" s="55" t="str">
        <f>IF(AND('Mapa final'!$Y$51="Muy Baja",'Mapa final'!$AA$51="Catastrófico"),CONCATENATE("R8C",'Mapa final'!$O$51),"")</f>
        <v/>
      </c>
      <c r="AK53" s="55" t="str">
        <f>IF(AND('Mapa final'!$Y$52="Muy Baja",'Mapa final'!$AA$52="Catastrófico"),CONCATENATE("R8C",'Mapa final'!$O$52),"")</f>
        <v/>
      </c>
      <c r="AL53" s="55" t="str">
        <f>IF(AND('Mapa final'!$Y$53="Muy Baja",'Mapa final'!$AA$53="Catastrófico"),CONCATENATE("R8C",'Mapa final'!$O$53),"")</f>
        <v/>
      </c>
      <c r="AM53" s="56" t="str">
        <f>IF(AND('Mapa final'!$Y$54="Muy Baja",'Mapa final'!$AA$54="Catastrófico"),CONCATENATE("R8C",'Mapa final'!$O$54),"")</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95"/>
      <c r="C54" s="295"/>
      <c r="D54" s="296"/>
      <c r="E54" s="394"/>
      <c r="F54" s="393"/>
      <c r="G54" s="393"/>
      <c r="H54" s="393"/>
      <c r="I54" s="409"/>
      <c r="J54" s="75" t="str">
        <f>IF(AND('Mapa final'!$Y$55="Muy Baja",'Mapa final'!$AA$55="Leve"),CONCATENATE("R9C",'Mapa final'!$O$55),"")</f>
        <v/>
      </c>
      <c r="K54" s="76" t="str">
        <f>IF(AND('Mapa final'!$Y$56="Muy Baja",'Mapa final'!$AA$56="Leve"),CONCATENATE("R9C",'Mapa final'!$O$56),"")</f>
        <v/>
      </c>
      <c r="L54" s="76" t="str">
        <f>IF(AND('Mapa final'!$Y$57="Muy Baja",'Mapa final'!$AA$57="Leve"),CONCATENATE("R9C",'Mapa final'!$O$57),"")</f>
        <v/>
      </c>
      <c r="M54" s="76" t="str">
        <f>IF(AND('Mapa final'!$Y$58="Muy Baja",'Mapa final'!$AA$58="Leve"),CONCATENATE("R9C",'Mapa final'!$O$58),"")</f>
        <v/>
      </c>
      <c r="N54" s="76" t="str">
        <f>IF(AND('Mapa final'!$Y$59="Muy Baja",'Mapa final'!$AA$59="Leve"),CONCATENATE("R9C",'Mapa final'!$O$59),"")</f>
        <v/>
      </c>
      <c r="O54" s="77" t="str">
        <f>IF(AND('Mapa final'!$Y$60="Muy Baja",'Mapa final'!$AA$60="Leve"),CONCATENATE("R9C",'Mapa final'!$O$60),"")</f>
        <v/>
      </c>
      <c r="P54" s="75" t="str">
        <f>IF(AND('Mapa final'!$Y$55="Muy Baja",'Mapa final'!$AA$55="Menor"),CONCATENATE("R9C",'Mapa final'!$O$55),"")</f>
        <v/>
      </c>
      <c r="Q54" s="76" t="str">
        <f>IF(AND('Mapa final'!$Y$56="Muy Baja",'Mapa final'!$AA$56="Menor"),CONCATENATE("R9C",'Mapa final'!$O$56),"")</f>
        <v/>
      </c>
      <c r="R54" s="76" t="str">
        <f>IF(AND('Mapa final'!$Y$57="Muy Baja",'Mapa final'!$AA$57="Menor"),CONCATENATE("R9C",'Mapa final'!$O$57),"")</f>
        <v/>
      </c>
      <c r="S54" s="76" t="str">
        <f>IF(AND('Mapa final'!$Y$58="Muy Baja",'Mapa final'!$AA$58="Menor"),CONCATENATE("R9C",'Mapa final'!$O$58),"")</f>
        <v/>
      </c>
      <c r="T54" s="76" t="str">
        <f>IF(AND('Mapa final'!$Y$59="Muy Baja",'Mapa final'!$AA$59="Menor"),CONCATENATE("R9C",'Mapa final'!$O$59),"")</f>
        <v/>
      </c>
      <c r="U54" s="77" t="str">
        <f>IF(AND('Mapa final'!$Y$60="Muy Baja",'Mapa final'!$AA$60="Menor"),CONCATENATE("R9C",'Mapa final'!$O$60),"")</f>
        <v/>
      </c>
      <c r="V54" s="66" t="str">
        <f>IF(AND('Mapa final'!$Y$55="Muy Baja",'Mapa final'!$AA$55="Moderado"),CONCATENATE("R9C",'Mapa final'!$O$55),"")</f>
        <v/>
      </c>
      <c r="W54" s="67" t="str">
        <f>IF(AND('Mapa final'!$Y$56="Muy Baja",'Mapa final'!$AA$56="Moderado"),CONCATENATE("R9C",'Mapa final'!$O$56),"")</f>
        <v/>
      </c>
      <c r="X54" s="67" t="str">
        <f>IF(AND('Mapa final'!$Y$57="Muy Baja",'Mapa final'!$AA$57="Moderado"),CONCATENATE("R9C",'Mapa final'!$O$57),"")</f>
        <v/>
      </c>
      <c r="Y54" s="67" t="str">
        <f>IF(AND('Mapa final'!$Y$58="Muy Baja",'Mapa final'!$AA$58="Moderado"),CONCATENATE("R9C",'Mapa final'!$O$58),"")</f>
        <v/>
      </c>
      <c r="Z54" s="67" t="str">
        <f>IF(AND('Mapa final'!$Y$59="Muy Baja",'Mapa final'!$AA$59="Moderado"),CONCATENATE("R9C",'Mapa final'!$O$59),"")</f>
        <v/>
      </c>
      <c r="AA54" s="68" t="str">
        <f>IF(AND('Mapa final'!$Y$60="Muy Baja",'Mapa final'!$AA$60="Moderado"),CONCATENATE("R9C",'Mapa final'!$O$60),"")</f>
        <v/>
      </c>
      <c r="AB54" s="51" t="str">
        <f>IF(AND('Mapa final'!$Y$55="Muy Baja",'Mapa final'!$AA$55="Mayor"),CONCATENATE("R9C",'Mapa final'!$O$55),"")</f>
        <v/>
      </c>
      <c r="AC54" s="52" t="str">
        <f>IF(AND('Mapa final'!$Y$56="Muy Baja",'Mapa final'!$AA$56="Mayor"),CONCATENATE("R9C",'Mapa final'!$O$56),"")</f>
        <v/>
      </c>
      <c r="AD54" s="52" t="str">
        <f>IF(AND('Mapa final'!$Y$57="Muy Baja",'Mapa final'!$AA$57="Mayor"),CONCATENATE("R9C",'Mapa final'!$O$57),"")</f>
        <v/>
      </c>
      <c r="AE54" s="52" t="str">
        <f>IF(AND('Mapa final'!$Y$58="Muy Baja",'Mapa final'!$AA$58="Mayor"),CONCATENATE("R9C",'Mapa final'!$O$58),"")</f>
        <v/>
      </c>
      <c r="AF54" s="52" t="str">
        <f>IF(AND('Mapa final'!$Y$59="Muy Baja",'Mapa final'!$AA$59="Mayor"),CONCATENATE("R9C",'Mapa final'!$O$59),"")</f>
        <v/>
      </c>
      <c r="AG54" s="53" t="str">
        <f>IF(AND('Mapa final'!$Y$60="Muy Baja",'Mapa final'!$AA$60="Mayor"),CONCATENATE("R9C",'Mapa final'!$O$60),"")</f>
        <v/>
      </c>
      <c r="AH54" s="54" t="str">
        <f>IF(AND('Mapa final'!$Y$55="Muy Baja",'Mapa final'!$AA$55="Catastrófico"),CONCATENATE("R9C",'Mapa final'!$O$55),"")</f>
        <v/>
      </c>
      <c r="AI54" s="55" t="str">
        <f>IF(AND('Mapa final'!$Y$56="Muy Baja",'Mapa final'!$AA$56="Catastrófico"),CONCATENATE("R9C",'Mapa final'!$O$56),"")</f>
        <v/>
      </c>
      <c r="AJ54" s="55" t="str">
        <f>IF(AND('Mapa final'!$Y$57="Muy Baja",'Mapa final'!$AA$57="Catastrófico"),CONCATENATE("R9C",'Mapa final'!$O$57),"")</f>
        <v/>
      </c>
      <c r="AK54" s="55" t="str">
        <f>IF(AND('Mapa final'!$Y$58="Muy Baja",'Mapa final'!$AA$58="Catastrófico"),CONCATENATE("R9C",'Mapa final'!$O$58),"")</f>
        <v/>
      </c>
      <c r="AL54" s="55" t="str">
        <f>IF(AND('Mapa final'!$Y$59="Muy Baja",'Mapa final'!$AA$59="Catastrófico"),CONCATENATE("R9C",'Mapa final'!$O$59),"")</f>
        <v/>
      </c>
      <c r="AM54" s="56" t="str">
        <f>IF(AND('Mapa final'!$Y$60="Muy Baja",'Mapa final'!$AA$60="Catastrófico"),CONCATENATE("R9C",'Mapa final'!$O$60),"")</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95"/>
      <c r="C55" s="295"/>
      <c r="D55" s="296"/>
      <c r="E55" s="395"/>
      <c r="F55" s="396"/>
      <c r="G55" s="396"/>
      <c r="H55" s="396"/>
      <c r="I55" s="410"/>
      <c r="J55" s="78" t="str">
        <f>IF(AND('Mapa final'!$Y$61="Muy Baja",'Mapa final'!$AA$61="Leve"),CONCATENATE("R10C",'Mapa final'!$O$61),"")</f>
        <v/>
      </c>
      <c r="K55" s="79" t="str">
        <f>IF(AND('Mapa final'!$Y$62="Muy Baja",'Mapa final'!$AA$62="Leve"),CONCATENATE("R10C",'Mapa final'!$O$62),"")</f>
        <v/>
      </c>
      <c r="L55" s="79" t="str">
        <f>IF(AND('Mapa final'!$Y$63="Muy Baja",'Mapa final'!$AA$63="Leve"),CONCATENATE("R10C",'Mapa final'!$O$63),"")</f>
        <v/>
      </c>
      <c r="M55" s="79" t="str">
        <f>IF(AND('Mapa final'!$Y$64="Muy Baja",'Mapa final'!$AA$64="Leve"),CONCATENATE("R10C",'Mapa final'!$O$64),"")</f>
        <v/>
      </c>
      <c r="N55" s="79" t="str">
        <f>IF(AND('Mapa final'!$Y$65="Muy Baja",'Mapa final'!$AA$65="Leve"),CONCATENATE("R10C",'Mapa final'!$O$65),"")</f>
        <v/>
      </c>
      <c r="O55" s="80" t="str">
        <f>IF(AND('Mapa final'!$Y$66="Muy Baja",'Mapa final'!$AA$66="Leve"),CONCATENATE("R10C",'Mapa final'!$O$66),"")</f>
        <v/>
      </c>
      <c r="P55" s="78" t="str">
        <f>IF(AND('Mapa final'!$Y$61="Muy Baja",'Mapa final'!$AA$61="Menor"),CONCATENATE("R10C",'Mapa final'!$O$61),"")</f>
        <v/>
      </c>
      <c r="Q55" s="79" t="str">
        <f>IF(AND('Mapa final'!$Y$62="Muy Baja",'Mapa final'!$AA$62="Menor"),CONCATENATE("R10C",'Mapa final'!$O$62),"")</f>
        <v/>
      </c>
      <c r="R55" s="79" t="str">
        <f>IF(AND('Mapa final'!$Y$63="Muy Baja",'Mapa final'!$AA$63="Menor"),CONCATENATE("R10C",'Mapa final'!$O$63),"")</f>
        <v/>
      </c>
      <c r="S55" s="79" t="str">
        <f>IF(AND('Mapa final'!$Y$64="Muy Baja",'Mapa final'!$AA$64="Menor"),CONCATENATE("R10C",'Mapa final'!$O$64),"")</f>
        <v/>
      </c>
      <c r="T55" s="79" t="str">
        <f>IF(AND('Mapa final'!$Y$65="Muy Baja",'Mapa final'!$AA$65="Menor"),CONCATENATE("R10C",'Mapa final'!$O$65),"")</f>
        <v/>
      </c>
      <c r="U55" s="80" t="str">
        <f>IF(AND('Mapa final'!$Y$66="Muy Baja",'Mapa final'!$AA$66="Menor"),CONCATENATE("R10C",'Mapa final'!$O$66),"")</f>
        <v/>
      </c>
      <c r="V55" s="69" t="str">
        <f>IF(AND('Mapa final'!$Y$61="Muy Baja",'Mapa final'!$AA$61="Moderado"),CONCATENATE("R10C",'Mapa final'!$O$61),"")</f>
        <v/>
      </c>
      <c r="W55" s="70" t="str">
        <f>IF(AND('Mapa final'!$Y$62="Muy Baja",'Mapa final'!$AA$62="Moderado"),CONCATENATE("R10C",'Mapa final'!$O$62),"")</f>
        <v/>
      </c>
      <c r="X55" s="70" t="str">
        <f>IF(AND('Mapa final'!$Y$63="Muy Baja",'Mapa final'!$AA$63="Moderado"),CONCATENATE("R10C",'Mapa final'!$O$63),"")</f>
        <v/>
      </c>
      <c r="Y55" s="70" t="str">
        <f>IF(AND('Mapa final'!$Y$64="Muy Baja",'Mapa final'!$AA$64="Moderado"),CONCATENATE("R10C",'Mapa final'!$O$64),"")</f>
        <v/>
      </c>
      <c r="Z55" s="70" t="str">
        <f>IF(AND('Mapa final'!$Y$65="Muy Baja",'Mapa final'!$AA$65="Moderado"),CONCATENATE("R10C",'Mapa final'!$O$65),"")</f>
        <v/>
      </c>
      <c r="AA55" s="71" t="str">
        <f>IF(AND('Mapa final'!$Y$66="Muy Baja",'Mapa final'!$AA$66="Moderado"),CONCATENATE("R10C",'Mapa final'!$O$66),"")</f>
        <v/>
      </c>
      <c r="AB55" s="57" t="str">
        <f>IF(AND('Mapa final'!$Y$61="Muy Baja",'Mapa final'!$AA$61="Mayor"),CONCATENATE("R10C",'Mapa final'!$O$61),"")</f>
        <v/>
      </c>
      <c r="AC55" s="58" t="str">
        <f>IF(AND('Mapa final'!$Y$62="Muy Baja",'Mapa final'!$AA$62="Mayor"),CONCATENATE("R10C",'Mapa final'!$O$62),"")</f>
        <v/>
      </c>
      <c r="AD55" s="58" t="str">
        <f>IF(AND('Mapa final'!$Y$63="Muy Baja",'Mapa final'!$AA$63="Mayor"),CONCATENATE("R10C",'Mapa final'!$O$63),"")</f>
        <v/>
      </c>
      <c r="AE55" s="58" t="str">
        <f>IF(AND('Mapa final'!$Y$64="Muy Baja",'Mapa final'!$AA$64="Mayor"),CONCATENATE("R10C",'Mapa final'!$O$64),"")</f>
        <v/>
      </c>
      <c r="AF55" s="58" t="str">
        <f>IF(AND('Mapa final'!$Y$65="Muy Baja",'Mapa final'!$AA$65="Mayor"),CONCATENATE("R10C",'Mapa final'!$O$65),"")</f>
        <v/>
      </c>
      <c r="AG55" s="59" t="str">
        <f>IF(AND('Mapa final'!$Y$66="Muy Baja",'Mapa final'!$AA$66="Mayor"),CONCATENATE("R10C",'Mapa final'!$O$66),"")</f>
        <v/>
      </c>
      <c r="AH55" s="60" t="str">
        <f>IF(AND('Mapa final'!$Y$61="Muy Baja",'Mapa final'!$AA$61="Catastrófico"),CONCATENATE("R10C",'Mapa final'!$O$61),"")</f>
        <v/>
      </c>
      <c r="AI55" s="61" t="str">
        <f>IF(AND('Mapa final'!$Y$62="Muy Baja",'Mapa final'!$AA$62="Catastrófico"),CONCATENATE("R10C",'Mapa final'!$O$62),"")</f>
        <v/>
      </c>
      <c r="AJ55" s="61" t="str">
        <f>IF(AND('Mapa final'!$Y$63="Muy Baja",'Mapa final'!$AA$63="Catastrófico"),CONCATENATE("R10C",'Mapa final'!$O$63),"")</f>
        <v/>
      </c>
      <c r="AK55" s="61" t="str">
        <f>IF(AND('Mapa final'!$Y$64="Muy Baja",'Mapa final'!$AA$64="Catastrófico"),CONCATENATE("R10C",'Mapa final'!$O$64),"")</f>
        <v/>
      </c>
      <c r="AL55" s="61" t="str">
        <f>IF(AND('Mapa final'!$Y$65="Muy Baja",'Mapa final'!$AA$65="Catastrófico"),CONCATENATE("R10C",'Mapa final'!$O$65),"")</f>
        <v/>
      </c>
      <c r="AM55" s="62" t="str">
        <f>IF(AND('Mapa final'!$Y$66="Muy Baja",'Mapa final'!$AA$66="Catastrófico"),CONCATENATE("R10C",'Mapa final'!$O$66),"")</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90" t="s">
        <v>111</v>
      </c>
      <c r="K56" s="391"/>
      <c r="L56" s="391"/>
      <c r="M56" s="391"/>
      <c r="N56" s="391"/>
      <c r="O56" s="408"/>
      <c r="P56" s="390" t="s">
        <v>110</v>
      </c>
      <c r="Q56" s="391"/>
      <c r="R56" s="391"/>
      <c r="S56" s="391"/>
      <c r="T56" s="391"/>
      <c r="U56" s="408"/>
      <c r="V56" s="390" t="s">
        <v>109</v>
      </c>
      <c r="W56" s="391"/>
      <c r="X56" s="391"/>
      <c r="Y56" s="391"/>
      <c r="Z56" s="391"/>
      <c r="AA56" s="408"/>
      <c r="AB56" s="390" t="s">
        <v>108</v>
      </c>
      <c r="AC56" s="429"/>
      <c r="AD56" s="391"/>
      <c r="AE56" s="391"/>
      <c r="AF56" s="391"/>
      <c r="AG56" s="408"/>
      <c r="AH56" s="390" t="s">
        <v>107</v>
      </c>
      <c r="AI56" s="391"/>
      <c r="AJ56" s="391"/>
      <c r="AK56" s="391"/>
      <c r="AL56" s="391"/>
      <c r="AM56" s="408"/>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94"/>
      <c r="K57" s="393"/>
      <c r="L57" s="393"/>
      <c r="M57" s="393"/>
      <c r="N57" s="393"/>
      <c r="O57" s="409"/>
      <c r="P57" s="394"/>
      <c r="Q57" s="393"/>
      <c r="R57" s="393"/>
      <c r="S57" s="393"/>
      <c r="T57" s="393"/>
      <c r="U57" s="409"/>
      <c r="V57" s="394"/>
      <c r="W57" s="393"/>
      <c r="X57" s="393"/>
      <c r="Y57" s="393"/>
      <c r="Z57" s="393"/>
      <c r="AA57" s="409"/>
      <c r="AB57" s="394"/>
      <c r="AC57" s="393"/>
      <c r="AD57" s="393"/>
      <c r="AE57" s="393"/>
      <c r="AF57" s="393"/>
      <c r="AG57" s="409"/>
      <c r="AH57" s="394"/>
      <c r="AI57" s="393"/>
      <c r="AJ57" s="393"/>
      <c r="AK57" s="393"/>
      <c r="AL57" s="393"/>
      <c r="AM57" s="40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94"/>
      <c r="K58" s="393"/>
      <c r="L58" s="393"/>
      <c r="M58" s="393"/>
      <c r="N58" s="393"/>
      <c r="O58" s="409"/>
      <c r="P58" s="394"/>
      <c r="Q58" s="393"/>
      <c r="R58" s="393"/>
      <c r="S58" s="393"/>
      <c r="T58" s="393"/>
      <c r="U58" s="409"/>
      <c r="V58" s="394"/>
      <c r="W58" s="393"/>
      <c r="X58" s="393"/>
      <c r="Y58" s="393"/>
      <c r="Z58" s="393"/>
      <c r="AA58" s="409"/>
      <c r="AB58" s="394"/>
      <c r="AC58" s="393"/>
      <c r="AD58" s="393"/>
      <c r="AE58" s="393"/>
      <c r="AF58" s="393"/>
      <c r="AG58" s="409"/>
      <c r="AH58" s="394"/>
      <c r="AI58" s="393"/>
      <c r="AJ58" s="393"/>
      <c r="AK58" s="393"/>
      <c r="AL58" s="393"/>
      <c r="AM58" s="40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94"/>
      <c r="K59" s="393"/>
      <c r="L59" s="393"/>
      <c r="M59" s="393"/>
      <c r="N59" s="393"/>
      <c r="O59" s="409"/>
      <c r="P59" s="394"/>
      <c r="Q59" s="393"/>
      <c r="R59" s="393"/>
      <c r="S59" s="393"/>
      <c r="T59" s="393"/>
      <c r="U59" s="409"/>
      <c r="V59" s="394"/>
      <c r="W59" s="393"/>
      <c r="X59" s="393"/>
      <c r="Y59" s="393"/>
      <c r="Z59" s="393"/>
      <c r="AA59" s="409"/>
      <c r="AB59" s="394"/>
      <c r="AC59" s="393"/>
      <c r="AD59" s="393"/>
      <c r="AE59" s="393"/>
      <c r="AF59" s="393"/>
      <c r="AG59" s="409"/>
      <c r="AH59" s="394"/>
      <c r="AI59" s="393"/>
      <c r="AJ59" s="393"/>
      <c r="AK59" s="393"/>
      <c r="AL59" s="393"/>
      <c r="AM59" s="40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94"/>
      <c r="K60" s="393"/>
      <c r="L60" s="393"/>
      <c r="M60" s="393"/>
      <c r="N60" s="393"/>
      <c r="O60" s="409"/>
      <c r="P60" s="394"/>
      <c r="Q60" s="393"/>
      <c r="R60" s="393"/>
      <c r="S60" s="393"/>
      <c r="T60" s="393"/>
      <c r="U60" s="409"/>
      <c r="V60" s="394"/>
      <c r="W60" s="393"/>
      <c r="X60" s="393"/>
      <c r="Y60" s="393"/>
      <c r="Z60" s="393"/>
      <c r="AA60" s="409"/>
      <c r="AB60" s="394"/>
      <c r="AC60" s="393"/>
      <c r="AD60" s="393"/>
      <c r="AE60" s="393"/>
      <c r="AF60" s="393"/>
      <c r="AG60" s="409"/>
      <c r="AH60" s="394"/>
      <c r="AI60" s="393"/>
      <c r="AJ60" s="393"/>
      <c r="AK60" s="393"/>
      <c r="AL60" s="393"/>
      <c r="AM60" s="40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95"/>
      <c r="K61" s="396"/>
      <c r="L61" s="396"/>
      <c r="M61" s="396"/>
      <c r="N61" s="396"/>
      <c r="O61" s="410"/>
      <c r="P61" s="395"/>
      <c r="Q61" s="396"/>
      <c r="R61" s="396"/>
      <c r="S61" s="396"/>
      <c r="T61" s="396"/>
      <c r="U61" s="410"/>
      <c r="V61" s="395"/>
      <c r="W61" s="396"/>
      <c r="X61" s="396"/>
      <c r="Y61" s="396"/>
      <c r="Z61" s="396"/>
      <c r="AA61" s="410"/>
      <c r="AB61" s="395"/>
      <c r="AC61" s="396"/>
      <c r="AD61" s="396"/>
      <c r="AE61" s="396"/>
      <c r="AF61" s="396"/>
      <c r="AG61" s="410"/>
      <c r="AH61" s="395"/>
      <c r="AI61" s="396"/>
      <c r="AJ61" s="396"/>
      <c r="AK61" s="396"/>
      <c r="AL61" s="396"/>
      <c r="AM61" s="410"/>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4" sqref="C4"/>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30" t="s">
        <v>54</v>
      </c>
      <c r="C1" s="430"/>
      <c r="D1" s="430"/>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128"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431" t="s">
        <v>62</v>
      </c>
      <c r="C1" s="431"/>
      <c r="D1" s="431"/>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156</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143</v>
      </c>
      <c r="D209" s="32" t="s">
        <v>87</v>
      </c>
      <c r="E209" s="32" t="s">
        <v>143</v>
      </c>
    </row>
    <row r="210" spans="1:8" ht="21" x14ac:dyDescent="0.35">
      <c r="A210" s="82"/>
      <c r="B210" s="30" t="s">
        <v>89</v>
      </c>
      <c r="C210" s="30" t="s">
        <v>57</v>
      </c>
      <c r="D210" t="s">
        <v>89</v>
      </c>
      <c r="F210" t="str">
        <f>IF(NOT(ISBLANK(D210)),D210,IF(NOT(ISBLANK(E210)),"     "&amp;E210,FALSE))</f>
        <v>Afectación Económica o presupuestal</v>
      </c>
      <c r="G210" t="s">
        <v>89</v>
      </c>
      <c r="H210" t="str">
        <f ca="1">IF(NOT(ISERROR(MATCH(G210,_xlfn.ANCHORARRAY(B221),0))),F223&amp;"Por favor no seleccionar los criterios de impacto",G210)</f>
        <v>Afectación Económica o presupuestal</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e" cm="1">
        <f t="array" aca="1" ref="B221:B223" ca="1">_xlfn.UNIQUE(Tabla1[[#All],[Criterios]])</f>
        <v>#NAME?</v>
      </c>
      <c r="C221" s="31"/>
      <c r="E221" t="s">
        <v>117</v>
      </c>
      <c r="F221" t="str">
        <f t="shared" si="0"/>
        <v xml:space="preserve">     El riesgo afecta la imagen de la entidad a nivel nacional, con efecto publicitarios sostenible a nivel país</v>
      </c>
    </row>
    <row r="222" spans="1:8" x14ac:dyDescent="0.25">
      <c r="A222" s="82"/>
      <c r="B222" s="31" t="e">
        <f ca="1"/>
        <v>#NAME?</v>
      </c>
      <c r="C222" s="31"/>
    </row>
    <row r="223" spans="1:8" x14ac:dyDescent="0.25">
      <c r="B223" s="31" t="e">
        <f ca="1"/>
        <v>#NAME?</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432" t="s">
        <v>77</v>
      </c>
      <c r="C1" s="433"/>
      <c r="D1" s="433"/>
      <c r="E1" s="433"/>
      <c r="F1" s="434"/>
    </row>
    <row r="2" spans="2:6" ht="16.5" thickBot="1" x14ac:dyDescent="0.3">
      <c r="B2" s="88"/>
      <c r="C2" s="88"/>
      <c r="D2" s="88"/>
      <c r="E2" s="88"/>
      <c r="F2" s="88"/>
    </row>
    <row r="3" spans="2:6" ht="16.5" thickBot="1" x14ac:dyDescent="0.25">
      <c r="B3" s="436" t="s">
        <v>63</v>
      </c>
      <c r="C3" s="437"/>
      <c r="D3" s="437"/>
      <c r="E3" s="100" t="s">
        <v>64</v>
      </c>
      <c r="F3" s="101" t="s">
        <v>65</v>
      </c>
    </row>
    <row r="4" spans="2:6" ht="31.5" x14ac:dyDescent="0.2">
      <c r="B4" s="438" t="s">
        <v>66</v>
      </c>
      <c r="C4" s="440" t="s">
        <v>13</v>
      </c>
      <c r="D4" s="89" t="s">
        <v>14</v>
      </c>
      <c r="E4" s="90" t="s">
        <v>67</v>
      </c>
      <c r="F4" s="91">
        <v>0.25</v>
      </c>
    </row>
    <row r="5" spans="2:6" ht="47.25" x14ac:dyDescent="0.2">
      <c r="B5" s="439"/>
      <c r="C5" s="441"/>
      <c r="D5" s="92" t="s">
        <v>15</v>
      </c>
      <c r="E5" s="93" t="s">
        <v>68</v>
      </c>
      <c r="F5" s="94">
        <v>0.15</v>
      </c>
    </row>
    <row r="6" spans="2:6" ht="47.25" x14ac:dyDescent="0.2">
      <c r="B6" s="439"/>
      <c r="C6" s="441"/>
      <c r="D6" s="92" t="s">
        <v>16</v>
      </c>
      <c r="E6" s="93" t="s">
        <v>69</v>
      </c>
      <c r="F6" s="94">
        <v>0.1</v>
      </c>
    </row>
    <row r="7" spans="2:6" ht="63" x14ac:dyDescent="0.2">
      <c r="B7" s="439"/>
      <c r="C7" s="441" t="s">
        <v>17</v>
      </c>
      <c r="D7" s="92" t="s">
        <v>10</v>
      </c>
      <c r="E7" s="93" t="s">
        <v>70</v>
      </c>
      <c r="F7" s="94">
        <v>0.25</v>
      </c>
    </row>
    <row r="8" spans="2:6" ht="31.5" x14ac:dyDescent="0.2">
      <c r="B8" s="439"/>
      <c r="C8" s="441"/>
      <c r="D8" s="92" t="s">
        <v>9</v>
      </c>
      <c r="E8" s="93" t="s">
        <v>71</v>
      </c>
      <c r="F8" s="94">
        <v>0.15</v>
      </c>
    </row>
    <row r="9" spans="2:6" ht="47.25" x14ac:dyDescent="0.2">
      <c r="B9" s="439" t="s">
        <v>160</v>
      </c>
      <c r="C9" s="441" t="s">
        <v>18</v>
      </c>
      <c r="D9" s="92" t="s">
        <v>19</v>
      </c>
      <c r="E9" s="93" t="s">
        <v>72</v>
      </c>
      <c r="F9" s="95" t="s">
        <v>73</v>
      </c>
    </row>
    <row r="10" spans="2:6" ht="63" x14ac:dyDescent="0.2">
      <c r="B10" s="439"/>
      <c r="C10" s="441"/>
      <c r="D10" s="92" t="s">
        <v>20</v>
      </c>
      <c r="E10" s="93" t="s">
        <v>74</v>
      </c>
      <c r="F10" s="95" t="s">
        <v>73</v>
      </c>
    </row>
    <row r="11" spans="2:6" ht="47.25" x14ac:dyDescent="0.2">
      <c r="B11" s="439"/>
      <c r="C11" s="441" t="s">
        <v>21</v>
      </c>
      <c r="D11" s="92" t="s">
        <v>22</v>
      </c>
      <c r="E11" s="93" t="s">
        <v>75</v>
      </c>
      <c r="F11" s="95" t="s">
        <v>73</v>
      </c>
    </row>
    <row r="12" spans="2:6" ht="47.25" x14ac:dyDescent="0.2">
      <c r="B12" s="439"/>
      <c r="C12" s="441"/>
      <c r="D12" s="92" t="s">
        <v>23</v>
      </c>
      <c r="E12" s="93" t="s">
        <v>76</v>
      </c>
      <c r="F12" s="95" t="s">
        <v>73</v>
      </c>
    </row>
    <row r="13" spans="2:6" ht="31.5" x14ac:dyDescent="0.2">
      <c r="B13" s="439"/>
      <c r="C13" s="441" t="s">
        <v>24</v>
      </c>
      <c r="D13" s="92" t="s">
        <v>118</v>
      </c>
      <c r="E13" s="93" t="s">
        <v>121</v>
      </c>
      <c r="F13" s="95" t="s">
        <v>73</v>
      </c>
    </row>
    <row r="14" spans="2:6" ht="32.25" thickBot="1" x14ac:dyDescent="0.25">
      <c r="B14" s="442"/>
      <c r="C14" s="443"/>
      <c r="D14" s="96" t="s">
        <v>119</v>
      </c>
      <c r="E14" s="97" t="s">
        <v>120</v>
      </c>
      <c r="F14" s="98" t="s">
        <v>73</v>
      </c>
    </row>
    <row r="15" spans="2:6" ht="49.5" customHeight="1" x14ac:dyDescent="0.2">
      <c r="B15" s="435" t="s">
        <v>157</v>
      </c>
      <c r="C15" s="435"/>
      <c r="D15" s="435"/>
      <c r="E15" s="435"/>
      <c r="F15" s="435"/>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2024-05-16T23:37:10Z</dcterms:modified>
</cp:coreProperties>
</file>