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14" r:id="rId10"/>
  </pivotCaches>
</workbook>
</file>

<file path=xl/calcChain.xml><?xml version="1.0" encoding="utf-8"?>
<calcChain xmlns="http://schemas.openxmlformats.org/spreadsheetml/2006/main">
  <c r="AB21" i="1" l="1"/>
  <c r="AA21" i="1"/>
  <c r="T21" i="1"/>
  <c r="Q21" i="1"/>
  <c r="K21" i="1"/>
  <c r="AB20" i="1"/>
  <c r="AA20" i="1" s="1"/>
  <c r="T20" i="1"/>
  <c r="Q20" i="1"/>
  <c r="X21" i="1" s="1"/>
  <c r="K20" i="1"/>
  <c r="AB19" i="1"/>
  <c r="AA19" i="1" s="1"/>
  <c r="T19" i="1"/>
  <c r="Q19" i="1"/>
  <c r="X20" i="1" s="1"/>
  <c r="K19" i="1"/>
  <c r="K18" i="1"/>
  <c r="K17" i="1"/>
  <c r="T16" i="1"/>
  <c r="Q16" i="1"/>
  <c r="K16" i="1"/>
  <c r="L16" i="1" s="1"/>
  <c r="M16" i="1" s="1"/>
  <c r="H16" i="1"/>
  <c r="Q10" i="1"/>
  <c r="Q28" i="1"/>
  <c r="T10" i="1"/>
  <c r="H10" i="1"/>
  <c r="I10" i="1" s="1"/>
  <c r="K31" i="1"/>
  <c r="K66" i="1"/>
  <c r="K29" i="1"/>
  <c r="K30" i="1"/>
  <c r="K35" i="1"/>
  <c r="K27" i="1"/>
  <c r="K36" i="1"/>
  <c r="K24" i="1"/>
  <c r="K62" i="1"/>
  <c r="K63" i="1"/>
  <c r="K32" i="1"/>
  <c r="K26" i="1"/>
  <c r="K33" i="1"/>
  <c r="K64" i="1"/>
  <c r="K23" i="1"/>
  <c r="K65" i="1"/>
  <c r="K25" i="1"/>
  <c r="Z21" i="1" l="1"/>
  <c r="Y21" i="1"/>
  <c r="AC21" i="1" s="1"/>
  <c r="Z20" i="1"/>
  <c r="Y20" i="1"/>
  <c r="AC20" i="1" s="1"/>
  <c r="N16" i="1"/>
  <c r="X19" i="1"/>
  <c r="AB16" i="1"/>
  <c r="AA16" i="1" s="1"/>
  <c r="I16" i="1"/>
  <c r="X16" i="1" s="1"/>
  <c r="F221" i="13"/>
  <c r="F211" i="13"/>
  <c r="F212" i="13"/>
  <c r="F213" i="13"/>
  <c r="F214" i="13"/>
  <c r="F215" i="13"/>
  <c r="F216" i="13"/>
  <c r="F217" i="13"/>
  <c r="F218" i="13"/>
  <c r="F219" i="13"/>
  <c r="F220" i="13"/>
  <c r="F210" i="13"/>
  <c r="K15" i="1"/>
  <c r="K14" i="1"/>
  <c r="K11" i="1"/>
  <c r="K12" i="1"/>
  <c r="B221" i="13" a="1"/>
  <c r="K13" i="1"/>
  <c r="Y16" i="1" l="1"/>
  <c r="AC16" i="1" s="1"/>
  <c r="Z16" i="1"/>
  <c r="Z19" i="1"/>
  <c r="Y19" i="1"/>
  <c r="AC19" i="1" s="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c r="H61" i="1"/>
  <c r="I61" i="1" s="1"/>
  <c r="T36" i="1"/>
  <c r="Q36" i="1"/>
  <c r="T35" i="1"/>
  <c r="Q35" i="1"/>
  <c r="T34" i="1"/>
  <c r="Q34" i="1"/>
  <c r="H34" i="1"/>
  <c r="I34" i="1" s="1"/>
  <c r="T33" i="1"/>
  <c r="Q33" i="1"/>
  <c r="T32" i="1"/>
  <c r="Q32" i="1"/>
  <c r="T31" i="1"/>
  <c r="Q31" i="1"/>
  <c r="T28" i="1"/>
  <c r="H28" i="1"/>
  <c r="I28" i="1" s="1"/>
  <c r="T27" i="1"/>
  <c r="Q27" i="1"/>
  <c r="T26" i="1"/>
  <c r="Q26" i="1"/>
  <c r="T25" i="1"/>
  <c r="Q25" i="1"/>
  <c r="T24" i="1"/>
  <c r="Q24" i="1"/>
  <c r="T22" i="1"/>
  <c r="Q22" i="1"/>
  <c r="H22" i="1"/>
  <c r="I22" i="1" s="1"/>
  <c r="Q15" i="1"/>
  <c r="Q14" i="1"/>
  <c r="Q13" i="1"/>
  <c r="X34" i="1" l="1"/>
  <c r="X28" i="1"/>
  <c r="X22" i="1"/>
  <c r="X62" i="1" l="1"/>
  <c r="Y62" i="1" s="1"/>
  <c r="Y34" i="1"/>
  <c r="Z34" i="1"/>
  <c r="Y28" i="1"/>
  <c r="Z28" i="1"/>
  <c r="Y22" i="1"/>
  <c r="Z22"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31" i="1"/>
  <c r="X35" i="1" l="1"/>
  <c r="Y25" i="1"/>
  <c r="X26" i="1"/>
  <c r="Z64" i="1"/>
  <c r="Y64" i="1"/>
  <c r="Y31" i="1"/>
  <c r="Z31" i="1"/>
  <c r="X33" i="1"/>
  <c r="Q12" i="1"/>
  <c r="X65" i="1" l="1"/>
  <c r="X66" i="1"/>
  <c r="Z35" i="1"/>
  <c r="X36" i="1" s="1"/>
  <c r="Y35" i="1"/>
  <c r="Y26" i="1"/>
  <c r="Z26" i="1"/>
  <c r="X27" i="1" s="1"/>
  <c r="Y27" i="1" s="1"/>
  <c r="Y33" i="1"/>
  <c r="Z33" i="1"/>
  <c r="X10" i="1"/>
  <c r="Y10" i="1" s="1"/>
  <c r="Y66" i="1" l="1"/>
  <c r="Z66" i="1"/>
  <c r="Y65" i="1"/>
  <c r="Z65" i="1"/>
  <c r="Y36" i="1"/>
  <c r="Z36" i="1"/>
  <c r="Z27" i="1"/>
  <c r="Z10" i="1" l="1"/>
  <c r="X12" i="1" l="1"/>
  <c r="Y12" i="1" s="1"/>
  <c r="Z12" i="1" l="1"/>
  <c r="X13" i="1" s="1"/>
  <c r="Z13" i="1" l="1"/>
  <c r="X14" i="1" s="1"/>
  <c r="Y14" i="1" l="1"/>
  <c r="Z14" i="1"/>
  <c r="X15" i="1" s="1"/>
  <c r="Y13" i="1"/>
  <c r="Y15" i="1" l="1"/>
  <c r="Z15" i="1"/>
  <c r="AB63" i="1" l="1"/>
  <c r="AB24"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2" i="1"/>
  <c r="AB12" i="1"/>
  <c r="AA63" i="1"/>
  <c r="AB64"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1" i="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J42" i="18" l="1"/>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V22" i="19" l="1"/>
  <c r="AB32" i="19"/>
  <c r="P22" i="19"/>
  <c r="AB42" i="19"/>
  <c r="AH12" i="19"/>
  <c r="P52" i="19"/>
  <c r="AB12" i="19"/>
  <c r="AH52" i="19"/>
  <c r="J22" i="19"/>
  <c r="V32" i="19"/>
  <c r="J52" i="19"/>
  <c r="P12" i="19"/>
  <c r="V42" i="19"/>
  <c r="AH32" i="19"/>
  <c r="P42" i="19"/>
  <c r="J12" i="19"/>
  <c r="J42" i="19"/>
  <c r="V12" i="19"/>
  <c r="J32" i="19"/>
  <c r="AH42" i="19"/>
  <c r="V52" i="19"/>
  <c r="AB52" i="19"/>
  <c r="P32" i="19"/>
  <c r="AB22" i="19"/>
  <c r="AH22"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K10" i="1" l="1"/>
  <c r="L10" i="1" s="1"/>
  <c r="K28" i="1"/>
  <c r="L28" i="1" s="1"/>
  <c r="K22" i="1"/>
  <c r="L22" i="1" s="1"/>
  <c r="K34" i="1"/>
  <c r="L34" i="1" s="1"/>
  <c r="K61" i="1"/>
  <c r="L61" i="1" s="1"/>
  <c r="X6" i="18" l="1"/>
  <c r="AD6" i="18"/>
  <c r="L38" i="18"/>
  <c r="AJ30" i="18"/>
  <c r="AD22" i="18"/>
  <c r="AD30" i="18"/>
  <c r="AD14" i="18"/>
  <c r="R22" i="18"/>
  <c r="AJ38" i="18"/>
  <c r="R6" i="18"/>
  <c r="L14" i="18"/>
  <c r="L6" i="18"/>
  <c r="X14" i="18"/>
  <c r="AJ22" i="18"/>
  <c r="R30" i="18"/>
  <c r="L30" i="18"/>
  <c r="X30" i="18"/>
  <c r="X22" i="18"/>
  <c r="R38" i="18"/>
  <c r="X38" i="18"/>
  <c r="AJ14" i="18"/>
  <c r="L22" i="18"/>
  <c r="AD38" i="18"/>
  <c r="R14" i="18"/>
  <c r="AJ6" i="18"/>
  <c r="R8" i="18"/>
  <c r="X24" i="18"/>
  <c r="X32" i="18"/>
  <c r="AD24" i="18"/>
  <c r="AJ8" i="18"/>
  <c r="AJ40" i="18"/>
  <c r="L8" i="18"/>
  <c r="AJ32" i="18"/>
  <c r="M34" i="1"/>
  <c r="AB34" i="1" s="1"/>
  <c r="AA34" i="1" s="1"/>
  <c r="R16" i="18"/>
  <c r="L16" i="18"/>
  <c r="AD8" i="18"/>
  <c r="R40" i="18"/>
  <c r="AD40" i="18"/>
  <c r="X16" i="18"/>
  <c r="R24" i="18"/>
  <c r="X40" i="18"/>
  <c r="L40" i="18"/>
  <c r="AD32" i="18"/>
  <c r="N34" i="1"/>
  <c r="AD16" i="18"/>
  <c r="R32" i="18"/>
  <c r="L32" i="18"/>
  <c r="L24" i="18"/>
  <c r="AJ16" i="18"/>
  <c r="X8" i="18"/>
  <c r="AJ24" i="18"/>
  <c r="P12" i="18"/>
  <c r="V44" i="18"/>
  <c r="AH28" i="18"/>
  <c r="AH20" i="18"/>
  <c r="J28" i="18"/>
  <c r="V36" i="18"/>
  <c r="P44" i="18"/>
  <c r="V20" i="18"/>
  <c r="AB12" i="18"/>
  <c r="M61" i="1"/>
  <c r="AB28" i="18"/>
  <c r="AB44" i="18"/>
  <c r="AH12" i="18"/>
  <c r="AH36" i="18"/>
  <c r="J20" i="18"/>
  <c r="V12" i="18"/>
  <c r="J36" i="18"/>
  <c r="J44" i="18"/>
  <c r="P20" i="18"/>
  <c r="V28" i="18"/>
  <c r="J12" i="18"/>
  <c r="AH44" i="18"/>
  <c r="N61" i="1"/>
  <c r="AB36" i="18"/>
  <c r="P28" i="18"/>
  <c r="P36" i="18"/>
  <c r="AB20" i="18"/>
  <c r="T14" i="18"/>
  <c r="N22" i="1"/>
  <c r="AL22" i="18"/>
  <c r="Z14" i="18"/>
  <c r="AL38" i="18"/>
  <c r="AF22" i="18"/>
  <c r="T6" i="18"/>
  <c r="Z38" i="18"/>
  <c r="T22" i="18"/>
  <c r="M22" i="1"/>
  <c r="AB22" i="1" s="1"/>
  <c r="AA22" i="1" s="1"/>
  <c r="AL30" i="18"/>
  <c r="N14" i="18"/>
  <c r="N6" i="18"/>
  <c r="AF14" i="18"/>
  <c r="N30" i="18"/>
  <c r="T30" i="18"/>
  <c r="Z6" i="18"/>
  <c r="AF6" i="18"/>
  <c r="AF30" i="18"/>
  <c r="T38" i="18"/>
  <c r="AF38" i="18"/>
  <c r="Z22" i="18"/>
  <c r="AL6" i="18"/>
  <c r="AL14" i="18"/>
  <c r="N38" i="18"/>
  <c r="Z30" i="18"/>
  <c r="N22" i="18"/>
  <c r="M28" i="1"/>
  <c r="AB28" i="1" s="1"/>
  <c r="AA28" i="1" s="1"/>
  <c r="V32" i="18"/>
  <c r="AB32" i="18"/>
  <c r="J16" i="18"/>
  <c r="AH16" i="18"/>
  <c r="AB8" i="18"/>
  <c r="AH32" i="18"/>
  <c r="N28" i="1"/>
  <c r="P40" i="18"/>
  <c r="P32" i="18"/>
  <c r="AB16" i="18"/>
  <c r="J24" i="18"/>
  <c r="AH8" i="18"/>
  <c r="J40" i="18"/>
  <c r="V24" i="18"/>
  <c r="V8" i="18"/>
  <c r="J32" i="18"/>
  <c r="AB40" i="18"/>
  <c r="P24" i="18"/>
  <c r="AH24" i="18"/>
  <c r="P8" i="18"/>
  <c r="V40" i="18"/>
  <c r="J8" i="18"/>
  <c r="AB24" i="18"/>
  <c r="P16" i="18"/>
  <c r="AH40" i="18"/>
  <c r="V16" i="18"/>
  <c r="V22" i="18"/>
  <c r="V30" i="18"/>
  <c r="J38" i="18"/>
  <c r="P6" i="18"/>
  <c r="AB6" i="18"/>
  <c r="AH30" i="18"/>
  <c r="V14" i="18"/>
  <c r="AB14" i="18"/>
  <c r="AH6" i="18"/>
  <c r="N10" i="1"/>
  <c r="AB38" i="18"/>
  <c r="J30" i="18"/>
  <c r="P22" i="18"/>
  <c r="V6" i="18"/>
  <c r="V38" i="18"/>
  <c r="AB30" i="18"/>
  <c r="AH38" i="18"/>
  <c r="AB22" i="18"/>
  <c r="AH14" i="18"/>
  <c r="P38" i="18"/>
  <c r="J22" i="18"/>
  <c r="J6" i="18"/>
  <c r="P14" i="18"/>
  <c r="AH22" i="18"/>
  <c r="J14" i="18"/>
  <c r="M10" i="1"/>
  <c r="AB10" i="1" s="1"/>
  <c r="AA10" i="1" s="1"/>
  <c r="P30" i="18"/>
  <c r="Z32" i="18"/>
  <c r="T16" i="18"/>
  <c r="Z40" i="18"/>
  <c r="N32" i="18"/>
  <c r="AF40" i="18"/>
  <c r="AL8" i="18"/>
  <c r="AF16" i="18"/>
  <c r="Z8" i="18"/>
  <c r="AF24" i="18"/>
  <c r="AL24" i="18"/>
  <c r="N16" i="18"/>
  <c r="AF8" i="18"/>
  <c r="Z16" i="18"/>
  <c r="T32" i="18"/>
  <c r="AL32" i="18"/>
  <c r="Z24" i="18"/>
  <c r="T8" i="18"/>
  <c r="AL40" i="18"/>
  <c r="N40" i="18"/>
  <c r="N8" i="18"/>
  <c r="AF32" i="18"/>
  <c r="T24" i="18"/>
  <c r="N24" i="18"/>
  <c r="AL16" i="18"/>
  <c r="T40" i="18"/>
  <c r="V9" i="19" l="1"/>
  <c r="J9" i="19"/>
  <c r="V29" i="19"/>
  <c r="J49" i="19"/>
  <c r="AH29" i="19"/>
  <c r="AB19" i="19"/>
  <c r="J29" i="19"/>
  <c r="V49" i="19"/>
  <c r="P39" i="19"/>
  <c r="V39" i="19"/>
  <c r="AC28" i="1"/>
  <c r="AB29" i="19"/>
  <c r="AB49" i="19"/>
  <c r="AH39" i="19"/>
  <c r="AB9" i="19"/>
  <c r="AH9" i="19"/>
  <c r="J19" i="19"/>
  <c r="P29" i="19"/>
  <c r="V19" i="19"/>
  <c r="P9" i="19"/>
  <c r="AB39" i="19"/>
  <c r="J39" i="19"/>
  <c r="AH19" i="19"/>
  <c r="AH49" i="19"/>
  <c r="P19" i="19"/>
  <c r="P49" i="19"/>
  <c r="AH30" i="19"/>
  <c r="AH40" i="19"/>
  <c r="J30" i="19"/>
  <c r="V10" i="19"/>
  <c r="J20" i="19"/>
  <c r="P40" i="19"/>
  <c r="V50" i="19"/>
  <c r="AH10" i="19"/>
  <c r="J40" i="19"/>
  <c r="AB40" i="19"/>
  <c r="AC34" i="1"/>
  <c r="P10" i="19"/>
  <c r="AB10" i="19"/>
  <c r="J50" i="19"/>
  <c r="AH20" i="19"/>
  <c r="V20" i="19"/>
  <c r="P50" i="19"/>
  <c r="P20" i="19"/>
  <c r="J10" i="19"/>
  <c r="P30" i="19"/>
  <c r="AB30" i="19"/>
  <c r="V30" i="19"/>
  <c r="V40" i="19"/>
  <c r="AH50" i="19"/>
  <c r="AB20" i="19"/>
  <c r="AB50" i="19"/>
  <c r="AH41" i="19"/>
  <c r="AB31" i="19"/>
  <c r="P21" i="19"/>
  <c r="AH11" i="19"/>
  <c r="P51" i="19"/>
  <c r="AB21" i="19"/>
  <c r="AB51" i="19"/>
  <c r="V21" i="19"/>
  <c r="J41" i="19"/>
  <c r="J31" i="19"/>
  <c r="AH21" i="19"/>
  <c r="V11" i="19"/>
  <c r="V31" i="19"/>
  <c r="J21" i="19"/>
  <c r="V51" i="19"/>
  <c r="P41" i="19"/>
  <c r="J51" i="19"/>
  <c r="AB11" i="19"/>
  <c r="AH51" i="19"/>
  <c r="J11" i="19"/>
  <c r="P11" i="19"/>
  <c r="V41" i="19"/>
  <c r="AH31" i="19"/>
  <c r="P31" i="19"/>
  <c r="AB41" i="19"/>
  <c r="P28" i="19"/>
  <c r="V38" i="19"/>
  <c r="AH8" i="19"/>
  <c r="V48" i="19"/>
  <c r="J28" i="19"/>
  <c r="P18" i="19"/>
  <c r="P38" i="19"/>
  <c r="AB38" i="19"/>
  <c r="AH18" i="19"/>
  <c r="J48" i="19"/>
  <c r="P48" i="19"/>
  <c r="P8" i="19"/>
  <c r="J38" i="19"/>
  <c r="V18" i="19"/>
  <c r="V28" i="19"/>
  <c r="AB8" i="19"/>
  <c r="J8" i="19"/>
  <c r="V8" i="19"/>
  <c r="J18" i="19"/>
  <c r="AB28" i="19"/>
  <c r="AH48" i="19"/>
  <c r="AC22" i="1"/>
  <c r="AH28" i="19"/>
  <c r="AB48" i="19"/>
  <c r="AH38" i="19"/>
  <c r="AB18" i="19"/>
  <c r="J27" i="19"/>
  <c r="AB47" i="19"/>
  <c r="AH37" i="19"/>
  <c r="AB37" i="19"/>
  <c r="AH47" i="19"/>
  <c r="P37" i="19"/>
  <c r="P47" i="19"/>
  <c r="J7" i="19"/>
  <c r="V17" i="19"/>
  <c r="AH7" i="19"/>
  <c r="J37" i="19"/>
  <c r="V7" i="19"/>
  <c r="J17" i="19"/>
  <c r="P7" i="19"/>
  <c r="AB17" i="19"/>
  <c r="P27" i="19"/>
  <c r="AB7" i="19"/>
  <c r="P17" i="19"/>
  <c r="V37" i="19"/>
  <c r="AB27" i="19"/>
  <c r="AH27" i="19"/>
  <c r="J47" i="19"/>
  <c r="V47" i="19"/>
  <c r="V27" i="19"/>
  <c r="AH17" i="19"/>
  <c r="AB46" i="19"/>
  <c r="AH36" i="19"/>
  <c r="AB6" i="19"/>
  <c r="J6" i="19"/>
  <c r="P26" i="19"/>
  <c r="P36" i="19"/>
  <c r="AB26" i="19"/>
  <c r="V6" i="19"/>
  <c r="AH46" i="19"/>
  <c r="P46" i="19"/>
  <c r="V16" i="19"/>
  <c r="J36" i="19"/>
  <c r="V36" i="19"/>
  <c r="P16" i="19"/>
  <c r="J26" i="19"/>
  <c r="J16" i="19"/>
  <c r="P6" i="19"/>
  <c r="AB16" i="19"/>
  <c r="AC10" i="1"/>
  <c r="J46" i="19"/>
  <c r="V46" i="19"/>
  <c r="AB36" i="19"/>
  <c r="AH6" i="19"/>
  <c r="AH26" i="19"/>
  <c r="AH16" i="19"/>
  <c r="V2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<sst xmlns="http://schemas.openxmlformats.org/spreadsheetml/2006/main" count="405" uniqueCount="249">
  <si>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</si>
  <si>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</si>
  <si>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</si>
  <si>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</si>
  <si>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</si>
  <si>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</si>
  <si>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</si>
  <si>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</si>
  <si>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</si>
  <si>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</si>
  <si>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</si>
  <si>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</si>
  <si>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</si>
  <si>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</si>
  <si>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</si>
  <si>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</si>
  <si>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</si>
  <si>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</si>
  <si>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</si>
  <si>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</si>
  <si>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</si>
  <si>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</si>
  <si>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</si>
  <si>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</si>
  <si>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</si>
  <si>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</si>
  <si>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</si>
  <si>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</si>
  <si>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</si>
  <si>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</si>
  <si>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</si>
  <si>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</si>
  <si>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</si>
  <si>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</si>
  <si>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</si>
  <si>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</si>
  <si>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</si>
  <si>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</si>
  <si>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</si>
  <si>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</si>
  <si>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</si>
  <si>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</si>
  <si>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</si>
  <si>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</si>
  <si>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</si>
  <si>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</si>
  <si>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</si>
  <si>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</si>
  <si>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</si>
  <si>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</si>
  <si>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</si>
  <si>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</si>
  <si>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</si>
  <si>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</si>
  <si>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</si>
  <si>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</si>
  <si>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</si>
  <si>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</si>
  <si>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</si>
  <si>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</si>
  <si>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</si>
  <si>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</si>
  <si>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</si>
  <si>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</si>
  <si>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</si>
  <si>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</si>
  <si>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</si>
  <si>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</si>
  <si>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</si>
  <si>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</si>
  <si>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</si>
  <si>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</si>
  <si>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</si>
  <si>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</si>
  <si>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</si>
  <si>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</si>
  <si>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</si>
  <si>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</si>
  <si>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</si>
  <si>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</si>
  <si>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</si>
  <si>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</si>
  <si>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</si>
  <si>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</si>
  <si>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</si>
  <si>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</si>
  <si>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</si>
  <si>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</si>
  <si>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</si>
  <si>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</si>
  <si>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</si>
  <si>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</si>
  <si>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</si>
  <si>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</si>
  <si>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</si>
  <si>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</si>
  <si>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</si>
  <si>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</si>
  <si>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</si>
  <si>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</si>
  <si>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</si>
  <si>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</si>
  <si>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</si>
  <si>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</si>
  <si>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</si>
  <si>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</si>
  <si>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</si>
  <si>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</si>
  <si>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</si>
  <si>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</si>
  <si>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</si>
  <si>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</si>
  <si>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</si>
  <si>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</si>
  <si>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</si>
  <si>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</si>
  <si>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</si>
  <si>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</si>
  <si>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</si>
  <si>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</si>
  <si>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</si>
  <si>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</si>
  <si>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</si>
  <si>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</si>
  <si>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</si>
  <si>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</si>
  <si>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</si>
  <si>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</si>
  <si>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</si>
  <si>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</si>
  <si>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</si>
  <si>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</si>
  <si>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</si>
  <si>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</si>
  <si>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</si>
  <si>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</si>
  <si>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</si>
  <si>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</si>
  <si>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</si>
  <si>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</si>
  <si>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</si>
  <si>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</si>
  <si>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</si>
  <si>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</si>
  <si>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</si>
  <si>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</si>
  <si>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</si>
  <si>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</si>
  <si>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</si>
  <si>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</si>
  <si>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</si>
  <si>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</si>
  <si>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</si>
  <si>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</si>
  <si>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</si>
  <si>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</si>
  <si>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</si>
  <si>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</si>
  <si>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</si>
  <si>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</si>
  <si>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</si>
  <si>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</si>
  <si>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</si>
  <si>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</si>
  <si>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</si>
  <si>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</si>
  <si>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</si>
  <si>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</si>
  <si>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</si>
  <si>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</si>
  <si>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</si>
  <si>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</si>
  <si>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</si>
  <si>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</si>
  <si>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</si>
  <si>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</si>
  <si>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</si>
  <si>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</si>
  <si>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</si>
  <si>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</si>
  <si>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</si>
  <si>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</si>
  <si>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</si>
  <si>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</si>
  <si>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</si>
  <si>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</si>
  <si>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</si>
  <si>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</si>
  <si>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</si>
  <si>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</si>
  <si>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</si>
  <si>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</si>
  <si>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</si>
  <si>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</si>
  <si>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</si>
  <si>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</si>
  <si>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</si>
  <si>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</si>
  <si>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</si>
  <si>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</si>
  <si>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</si>
  <si>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</si>
  <si>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</si>
  <si>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</si>
  <si>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</si>
  <si>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</si>
  <si>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</si>
  <si>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</si>
  <si>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</si>
  <si>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</si>
  <si>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</si>
  <si>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</si>
  <si>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</si>
  <si>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Permanente</t>
  </si>
  <si>
    <t>GESTIÓN COBRO PERSUASIVO Y COACTIVO</t>
  </si>
  <si>
    <t>Falta de implementación de un proceso  de registro de pagos de las obligaciones a favor de la AMB diferentes a valorización</t>
  </si>
  <si>
    <t xml:space="preserve">Falta de archivadores independientes idóneos para garantizar la conservación y custodia documental de cobro  coactivo </t>
  </si>
  <si>
    <t>Falta de sistematización de los procesos administrativos de cobro coactivo</t>
  </si>
  <si>
    <t xml:space="preserve">Falta de insumos para continuar con las etapas procesales. </t>
  </si>
  <si>
    <t>Plataforma INTEGRASOFT Y BPM,  que  permite registrar la información de los expedientes administrativos de cobro coactivo pendientes por dichas actividades.</t>
  </si>
  <si>
    <r>
      <t xml:space="preserve">Establecer el procedimiento para el trámite del proceso administrativo de cobro coactivo en su etapa coactiva en el Área Metropolitana de Bucaramanga </t>
    </r>
    <r>
      <rPr>
        <sz val="11"/>
        <color theme="1"/>
        <rFont val="Arial"/>
        <family val="2"/>
      </rPr>
      <t>AMB, para el cobro de las acreencias que constituyan obligaciones a favor de la entidad</t>
    </r>
  </si>
  <si>
    <t>Este procedimiento inicia con el auto de avoca conocimiento, previa constitución del título ejecutivo por el profesional universitario de cobro persuasivo, documento(s) el cual debe ser claro, expreso y exigible, y a su vez respalde las obligaciones a favor del AMB.</t>
  </si>
  <si>
    <t>Posibilidad de un daño economico y reputacional de la Pérdida documental y de expedientes</t>
  </si>
  <si>
    <t>Mensual</t>
  </si>
  <si>
    <t xml:space="preserve">2. SUBDIRECTORA ADMINISTRATIVA Y FINANCIERA </t>
  </si>
  <si>
    <t xml:space="preserve">  Falta de espacio, falta de archivadores y/o adapatacion de los mismos que brinden seguirdad.</t>
  </si>
  <si>
    <t xml:space="preserve">Adquisición y/o modificación de Archivadores y Mobiliarios insuficientes e inseguros.
</t>
  </si>
  <si>
    <t xml:space="preserve">Falta de personal de apoyo suficiente e idóneo y con experiencia en cobro coactivo. </t>
  </si>
  <si>
    <t xml:space="preserve">
Personal contratado insuficiente y no idóneo con falta de experiencia en trámite de procesos administrativos de cobro coactivo para el alto número de expedientes coactivos demás actividades propias de la dependencia..</t>
  </si>
  <si>
    <t xml:space="preserve">
Adquirir y/o continuar con la implementación y ajustes de la plataforma BPM para la sistematización de los procesos coactivos conforme a las necesidades de los mismos.</t>
  </si>
  <si>
    <t xml:space="preserve">
No contar la entidad con los insumos necearios para continuar con las etapas procesales (parqueaderos, materiales y equipos)</t>
  </si>
  <si>
    <t>Posibilidad de un daño reputacional de la Información Financiera deficiente</t>
  </si>
  <si>
    <t xml:space="preserve">
Falta de sistematización de recaudos  por conceptos diferentes a valorizacion</t>
  </si>
  <si>
    <t>Posibilidad de un daño economico y reputacional de la Falta de celeridad y oportunidad en el trámite de los procesos y demás actividades propias de la dependencia.</t>
  </si>
  <si>
    <t>Posibilidad de un daño economico y reputacional en la  dificultad para el seguimiento de las actuaciones procesales y trámite oportuno de los procesos.</t>
  </si>
  <si>
    <t>Posibilidad de un daño economico y reputacional del no cobro de la obligación y/o prescripción del proceso.</t>
  </si>
  <si>
    <t xml:space="preserve">Generación de relación mensual de consignaciones que presenta el deudor.                                             </t>
  </si>
  <si>
    <t xml:space="preserve">1. Reporte mensual de recaudo diferentes a valorización   </t>
  </si>
  <si>
    <t>2.Gestionar la implementación del proceso de registro de pago,identificando decudor,cedula,expediente</t>
  </si>
  <si>
    <t>Seguimiento</t>
  </si>
  <si>
    <t xml:space="preserve"> 
 SUBDIRECTOR ADMINISTRATIVO Y FINANCIERO</t>
  </si>
  <si>
    <t xml:space="preserve"> Gestión para la implementacion del proceso de registro de pago,identificando el nombre del deudor,cedula, valor pagado y expediente.</t>
  </si>
  <si>
    <t>Dotar de  espacio y mobiliario independiente que brinde seguridad a expedientes y documentos</t>
  </si>
  <si>
    <t xml:space="preserve">.
Contratar personal y suministro del mismo suficiente, idóneo y con experiencia en procesos coactivos. 
</t>
  </si>
  <si>
    <t>Contratar el personal requerido.</t>
  </si>
  <si>
    <t>Suministrar el personal diferente a los abogados de apoyo a coactivo.</t>
  </si>
  <si>
    <t xml:space="preserve">Adquirir y suministrar los insumos y elementos requeridos para el desarrollo del proceso </t>
  </si>
  <si>
    <t>MAPA DE RIESGOS
AREA METROPOLITANA DE BUCARAMANGA
VIGENCIA 2024</t>
  </si>
  <si>
    <t>Gestionar alternativas para garantizar el suministro ded los insumos y elementos de trabajo necesarios para el debido trámite de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</si>
</sst>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22"/>
      <color theme="0"/>
      <name val="Arial Narrow"/>
      <family val="2"/>
    </font>
    <font>
      <b/>
      <sz val="11"/>
      <color theme="0"/>
      <name val="Arial Narrow"/>
      <family val="2"/>
    </font>
    <font>
      <b/>
      <sz val="14"/>
      <color theme="0"/>
      <name val="Arial Narrow"/>
      <family val="2"/>
    </font>
    <font>
      <b/>
      <sz val="18"/>
      <color theme="0"/>
      <name val="Arial Narrow"/>
      <family val="2"/>
    </font>
    <font>
      <sz val="11"/>
      <color rgb="FF000000"/>
      <name val="Arial"/>
      <family val="2"/>
    </font>
    <font>
      <sz val="11"/>
      <color theme="1"/>
      <name val="Arial"/>
      <family val="2"/>
    </font>
    <font>
      <sz val="12"/>
      <name val="Arial Narrow"/>
      <family val="2"/>
    </font>
    <font>
      <sz val="12"/>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4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0" fillId="7" borderId="2" xfId="0" applyFont="1" applyFill="1" applyBorder="1" applyAlignment="1">
      <alignment horizontal="center" vertical="center" textRotation="9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8" fillId="3" borderId="10"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0" fontId="49" fillId="0" borderId="4"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 fillId="3" borderId="0" xfId="0" applyFont="1" applyFill="1" applyAlignment="1">
      <alignment vertical="center" wrapText="1"/>
    </xf>
    <xf numFmtId="0" fontId="65" fillId="0" borderId="2" xfId="0" applyFont="1" applyBorder="1" applyAlignment="1" applyProtection="1">
      <alignment horizontal="center" vertical="center" wrapText="1"/>
      <protection locked="0"/>
    </xf>
    <xf numFmtId="0" fontId="65" fillId="0" borderId="2" xfId="0" applyFont="1" applyBorder="1" applyAlignment="1" applyProtection="1">
      <alignment horizontal="center" vertical="top" wrapText="1"/>
      <protection locked="0"/>
    </xf>
    <xf numFmtId="0" fontId="66" fillId="0" borderId="2" xfId="0" applyFont="1" applyBorder="1" applyAlignment="1" applyProtection="1">
      <alignment horizontal="center" vertical="center" wrapText="1"/>
      <protection locked="0"/>
    </xf>
    <xf numFmtId="0" fontId="35" fillId="0" borderId="2" xfId="0" applyFont="1" applyBorder="1" applyAlignment="1" applyProtection="1">
      <alignment horizontal="center" vertical="top" wrapText="1"/>
      <protection locked="0"/>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9" fillId="7" borderId="29" xfId="0" applyFont="1" applyFill="1" applyBorder="1" applyAlignment="1">
      <alignment horizontal="center" vertical="center" wrapText="1"/>
    </xf>
    <xf numFmtId="0" fontId="58" fillId="3" borderId="6" xfId="0" applyFont="1" applyFill="1" applyBorder="1" applyAlignment="1" applyProtection="1">
      <alignment horizontal="left" vertical="center"/>
      <protection locked="0"/>
    </xf>
    <xf numFmtId="0" fontId="58" fillId="3" borderId="10" xfId="0" applyFont="1" applyFill="1" applyBorder="1" applyAlignment="1" applyProtection="1">
      <alignment horizontal="left" vertical="center"/>
      <protection locked="0"/>
    </xf>
    <xf numFmtId="0" fontId="5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0" fillId="7" borderId="6" xfId="0" applyFont="1" applyFill="1" applyBorder="1" applyAlignment="1">
      <alignment horizontal="center" vertical="center"/>
    </xf>
    <xf numFmtId="0" fontId="60" fillId="7" borderId="10" xfId="0" applyFont="1" applyFill="1" applyBorder="1" applyAlignment="1">
      <alignment horizontal="center" vertical="center"/>
    </xf>
    <xf numFmtId="0" fontId="60" fillId="7" borderId="7" xfId="0" applyFont="1" applyFill="1" applyBorder="1" applyAlignment="1">
      <alignment horizontal="center" vertical="center"/>
    </xf>
    <xf numFmtId="0" fontId="62" fillId="7" borderId="6" xfId="0" applyFont="1" applyFill="1" applyBorder="1" applyAlignment="1">
      <alignment horizontal="left" vertical="center"/>
    </xf>
    <xf numFmtId="0" fontId="62" fillId="7" borderId="7" xfId="0" applyFont="1" applyFill="1" applyBorder="1" applyAlignment="1">
      <alignment horizontal="left" vertical="center"/>
    </xf>
    <xf numFmtId="0" fontId="63" fillId="0" borderId="6" xfId="0" applyFont="1" applyBorder="1" applyAlignment="1">
      <alignment horizontal="center" vertical="center" wrapText="1"/>
    </xf>
    <xf numFmtId="0" fontId="63" fillId="0" borderId="10"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10" xfId="0" applyFont="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1" fillId="7" borderId="4" xfId="0" applyFont="1" applyFill="1" applyBorder="1" applyAlignment="1">
      <alignment horizontal="center" vertical="center" textRotation="90"/>
    </xf>
    <xf numFmtId="0" fontId="61" fillId="7" borderId="5" xfId="0" applyFont="1" applyFill="1" applyBorder="1" applyAlignment="1">
      <alignment horizontal="center" vertical="center" textRotation="90"/>
    </xf>
    <xf numFmtId="0" fontId="60" fillId="7" borderId="4" xfId="0" applyFont="1" applyFill="1" applyBorder="1" applyAlignment="1">
      <alignment horizontal="center" vertical="center" wrapText="1"/>
    </xf>
    <xf numFmtId="0" fontId="60" fillId="7" borderId="5" xfId="0" applyFont="1" applyFill="1" applyBorder="1" applyAlignment="1">
      <alignment horizontal="center" vertical="center" wrapText="1"/>
    </xf>
    <xf numFmtId="0" fontId="60" fillId="7" borderId="5" xfId="0" applyFont="1" applyFill="1" applyBorder="1" applyAlignment="1">
      <alignment horizontal="center" vertical="center"/>
    </xf>
    <xf numFmtId="0" fontId="60" fillId="7" borderId="2" xfId="0" applyFont="1" applyFill="1" applyBorder="1" applyAlignment="1">
      <alignment horizontal="center" vertical="center"/>
    </xf>
    <xf numFmtId="0" fontId="60" fillId="7" borderId="2"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60" fillId="7" borderId="2" xfId="0" applyFont="1" applyFill="1" applyBorder="1" applyAlignment="1">
      <alignment horizontal="center" vertical="center" textRotation="90" wrapText="1"/>
    </xf>
    <xf numFmtId="0" fontId="60" fillId="7" borderId="4" xfId="0" applyFont="1" applyFill="1" applyBorder="1" applyAlignment="1">
      <alignment horizontal="center" vertical="center" textRotation="90" wrapText="1"/>
    </xf>
    <xf numFmtId="0" fontId="60" fillId="7" borderId="5" xfId="0" applyFont="1" applyFill="1" applyBorder="1" applyAlignment="1">
      <alignment horizontal="center" vertical="center" textRotation="90" wrapText="1"/>
    </xf>
    <xf numFmtId="0" fontId="60" fillId="7" borderId="8" xfId="0" applyFont="1" applyFill="1" applyBorder="1" applyAlignment="1">
      <alignment horizontal="center" vertical="center" wrapText="1"/>
    </xf>
    <xf numFmtId="0" fontId="60" fillId="7" borderId="9" xfId="0" applyFont="1" applyFill="1" applyBorder="1" applyAlignment="1">
      <alignment horizontal="center" vertical="center"/>
    </xf>
    <xf numFmtId="0" fontId="60" fillId="7" borderId="3" xfId="0" applyFont="1" applyFill="1" applyBorder="1" applyAlignment="1">
      <alignment horizontal="center" vertical="center"/>
    </xf>
    <xf numFmtId="0" fontId="60" fillId="7"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59" fillId="7" borderId="28" xfId="0" applyFont="1" applyFill="1" applyBorder="1" applyAlignment="1">
      <alignment horizontal="center" vertical="center" wrapText="1"/>
    </xf>
    <xf numFmtId="0" fontId="59" fillId="7" borderId="30" xfId="0" applyFont="1" applyFill="1" applyBorder="1" applyAlignment="1">
      <alignment horizontal="center" vertical="center" wrapText="1"/>
    </xf>
    <xf numFmtId="0" fontId="59" fillId="7" borderId="3" xfId="0" applyFont="1" applyFill="1" applyBorder="1" applyAlignment="1">
      <alignment horizontal="center" vertical="center" wrapText="1"/>
    </xf>
    <xf numFmtId="0" fontId="59" fillId="7" borderId="31" xfId="0" applyFont="1" applyFill="1" applyBorder="1" applyAlignment="1">
      <alignment horizontal="center" vertical="center" wrapText="1"/>
    </xf>
    <xf numFmtId="0" fontId="59" fillId="7" borderId="32" xfId="0" applyFont="1" applyFill="1" applyBorder="1" applyAlignment="1">
      <alignment horizontal="center" vertical="center" wrapText="1"/>
    </xf>
  </cellXfs>
  <cellStyles count="5">
    <cellStyle name="Normal" xfId="0" builtinId="0"/>
    <cellStyle name="Normal - Style1 2" xfId="2"/>
    <cellStyle name="Normal 2" xfId="4"/>
    <cellStyle name="Normal 2 2" xfId="3"/>
    <cellStyle name="Porcentaje" xfId="1" builtinId="5"/>
  </cellStyles>
  <dxfs count="100">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99" dataDxfId="98">
  <autoFilter ref="B209:C219"/>
  <tableColumns count="2">
    <tableColumn id="1" name="Criterios" dataDxfId="97"/>
    <tableColumn id="2" name="Subcriterios" dataDxfId="9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7" zoomScale="110" zoomScaleNormal="110" workbookViewId="0">
      <selection activeCell="E19" sqref="E19:F19"/>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93" t="s">
        <v>164</v>
      </c>
      <c r="C2" s="194"/>
      <c r="D2" s="194"/>
      <c r="E2" s="194"/>
      <c r="F2" s="194"/>
      <c r="G2" s="194"/>
      <c r="H2" s="195"/>
    </row>
    <row r="3" spans="2:8" x14ac:dyDescent="0.25">
      <c r="B3" s="83"/>
      <c r="C3" s="84"/>
      <c r="D3" s="84"/>
      <c r="E3" s="84"/>
      <c r="F3" s="84"/>
      <c r="G3" s="84"/>
      <c r="H3" s="85"/>
    </row>
    <row r="4" spans="2:8" ht="63" customHeight="1" x14ac:dyDescent="0.25">
      <c r="B4" s="196" t="s">
        <v>207</v>
      </c>
      <c r="C4" s="197"/>
      <c r="D4" s="197"/>
      <c r="E4" s="197"/>
      <c r="F4" s="197"/>
      <c r="G4" s="197"/>
      <c r="H4" s="198"/>
    </row>
    <row r="5" spans="2:8" ht="63" customHeight="1" x14ac:dyDescent="0.25">
      <c r="B5" s="199"/>
      <c r="C5" s="200"/>
      <c r="D5" s="200"/>
      <c r="E5" s="200"/>
      <c r="F5" s="200"/>
      <c r="G5" s="200"/>
      <c r="H5" s="201"/>
    </row>
    <row r="6" spans="2:8" ht="16.5" x14ac:dyDescent="0.25">
      <c r="B6" s="202" t="s">
        <v>162</v>
      </c>
      <c r="C6" s="203"/>
      <c r="D6" s="203"/>
      <c r="E6" s="203"/>
      <c r="F6" s="203"/>
      <c r="G6" s="203"/>
      <c r="H6" s="204"/>
    </row>
    <row r="7" spans="2:8" ht="95.25" customHeight="1" x14ac:dyDescent="0.25">
      <c r="B7" s="212" t="s">
        <v>167</v>
      </c>
      <c r="C7" s="213"/>
      <c r="D7" s="213"/>
      <c r="E7" s="213"/>
      <c r="F7" s="213"/>
      <c r="G7" s="213"/>
      <c r="H7" s="214"/>
    </row>
    <row r="8" spans="2:8" ht="16.5" x14ac:dyDescent="0.25">
      <c r="B8" s="119"/>
      <c r="C8" s="120"/>
      <c r="D8" s="120"/>
      <c r="E8" s="120"/>
      <c r="F8" s="120"/>
      <c r="G8" s="120"/>
      <c r="H8" s="121"/>
    </row>
    <row r="9" spans="2:8" ht="16.5" customHeight="1" x14ac:dyDescent="0.25">
      <c r="B9" s="205" t="s">
        <v>200</v>
      </c>
      <c r="C9" s="206"/>
      <c r="D9" s="206"/>
      <c r="E9" s="206"/>
      <c r="F9" s="206"/>
      <c r="G9" s="206"/>
      <c r="H9" s="207"/>
    </row>
    <row r="10" spans="2:8" ht="44.25" customHeight="1" x14ac:dyDescent="0.25">
      <c r="B10" s="205"/>
      <c r="C10" s="206"/>
      <c r="D10" s="206"/>
      <c r="E10" s="206"/>
      <c r="F10" s="206"/>
      <c r="G10" s="206"/>
      <c r="H10" s="207"/>
    </row>
    <row r="11" spans="2:8" ht="15.75" thickBot="1" x14ac:dyDescent="0.3">
      <c r="B11" s="108"/>
      <c r="C11" s="111"/>
      <c r="D11" s="116"/>
      <c r="E11" s="117"/>
      <c r="F11" s="117"/>
      <c r="G11" s="118"/>
      <c r="H11" s="112"/>
    </row>
    <row r="12" spans="2:8" ht="15.75" thickTop="1" x14ac:dyDescent="0.25">
      <c r="B12" s="108"/>
      <c r="C12" s="208" t="s">
        <v>163</v>
      </c>
      <c r="D12" s="209"/>
      <c r="E12" s="210" t="s">
        <v>201</v>
      </c>
      <c r="F12" s="211"/>
      <c r="G12" s="111"/>
      <c r="H12" s="112"/>
    </row>
    <row r="13" spans="2:8" ht="35.25" customHeight="1" x14ac:dyDescent="0.25">
      <c r="B13" s="108"/>
      <c r="C13" s="180" t="s">
        <v>194</v>
      </c>
      <c r="D13" s="181"/>
      <c r="E13" s="182" t="s">
        <v>199</v>
      </c>
      <c r="F13" s="183"/>
      <c r="G13" s="111"/>
      <c r="H13" s="112"/>
    </row>
    <row r="14" spans="2:8" ht="17.25" customHeight="1" x14ac:dyDescent="0.25">
      <c r="B14" s="108"/>
      <c r="C14" s="180" t="s">
        <v>195</v>
      </c>
      <c r="D14" s="181"/>
      <c r="E14" s="182" t="s">
        <v>197</v>
      </c>
      <c r="F14" s="183"/>
      <c r="G14" s="111"/>
      <c r="H14" s="112"/>
    </row>
    <row r="15" spans="2:8" ht="19.5" customHeight="1" x14ac:dyDescent="0.25">
      <c r="B15" s="108"/>
      <c r="C15" s="180" t="s">
        <v>196</v>
      </c>
      <c r="D15" s="181"/>
      <c r="E15" s="182" t="s">
        <v>198</v>
      </c>
      <c r="F15" s="183"/>
      <c r="G15" s="111"/>
      <c r="H15" s="112"/>
    </row>
    <row r="16" spans="2:8" ht="69.75" customHeight="1" x14ac:dyDescent="0.25">
      <c r="B16" s="108"/>
      <c r="C16" s="180" t="s">
        <v>165</v>
      </c>
      <c r="D16" s="181"/>
      <c r="E16" s="182" t="s">
        <v>166</v>
      </c>
      <c r="F16" s="183"/>
      <c r="G16" s="111"/>
      <c r="H16" s="112"/>
    </row>
    <row r="17" spans="2:8" ht="34.5" customHeight="1" x14ac:dyDescent="0.25">
      <c r="B17" s="108"/>
      <c r="C17" s="184" t="s">
        <v>2</v>
      </c>
      <c r="D17" s="185"/>
      <c r="E17" s="176" t="s">
        <v>208</v>
      </c>
      <c r="F17" s="177"/>
      <c r="G17" s="111"/>
      <c r="H17" s="112"/>
    </row>
    <row r="18" spans="2:8" ht="27.75" customHeight="1" x14ac:dyDescent="0.25">
      <c r="B18" s="108"/>
      <c r="C18" s="184" t="s">
        <v>3</v>
      </c>
      <c r="D18" s="185"/>
      <c r="E18" s="176" t="s">
        <v>209</v>
      </c>
      <c r="F18" s="177"/>
      <c r="G18" s="111"/>
      <c r="H18" s="112"/>
    </row>
    <row r="19" spans="2:8" ht="28.5" customHeight="1" x14ac:dyDescent="0.25">
      <c r="B19" s="108"/>
      <c r="C19" s="184" t="s">
        <v>41</v>
      </c>
      <c r="D19" s="185"/>
      <c r="E19" s="176" t="s">
        <v>210</v>
      </c>
      <c r="F19" s="177"/>
      <c r="G19" s="111"/>
      <c r="H19" s="112"/>
    </row>
    <row r="20" spans="2:8" ht="72.75" customHeight="1" x14ac:dyDescent="0.25">
      <c r="B20" s="108"/>
      <c r="C20" s="184" t="s">
        <v>1</v>
      </c>
      <c r="D20" s="185"/>
      <c r="E20" s="176" t="s">
        <v>211</v>
      </c>
      <c r="F20" s="177"/>
      <c r="G20" s="111"/>
      <c r="H20" s="112"/>
    </row>
    <row r="21" spans="2:8" ht="64.5" customHeight="1" x14ac:dyDescent="0.25">
      <c r="B21" s="108"/>
      <c r="C21" s="184" t="s">
        <v>49</v>
      </c>
      <c r="D21" s="185"/>
      <c r="E21" s="176" t="s">
        <v>169</v>
      </c>
      <c r="F21" s="177"/>
      <c r="G21" s="111"/>
      <c r="H21" s="112"/>
    </row>
    <row r="22" spans="2:8" ht="71.25" customHeight="1" x14ac:dyDescent="0.25">
      <c r="B22" s="108"/>
      <c r="C22" s="184" t="s">
        <v>168</v>
      </c>
      <c r="D22" s="185"/>
      <c r="E22" s="176" t="s">
        <v>170</v>
      </c>
      <c r="F22" s="177"/>
      <c r="G22" s="111"/>
      <c r="H22" s="112"/>
    </row>
    <row r="23" spans="2:8" ht="55.5" customHeight="1" x14ac:dyDescent="0.25">
      <c r="B23" s="108"/>
      <c r="C23" s="178" t="s">
        <v>171</v>
      </c>
      <c r="D23" s="179"/>
      <c r="E23" s="176" t="s">
        <v>172</v>
      </c>
      <c r="F23" s="177"/>
      <c r="G23" s="111"/>
      <c r="H23" s="112"/>
    </row>
    <row r="24" spans="2:8" ht="42" customHeight="1" x14ac:dyDescent="0.25">
      <c r="B24" s="108"/>
      <c r="C24" s="178" t="s">
        <v>47</v>
      </c>
      <c r="D24" s="179"/>
      <c r="E24" s="176" t="s">
        <v>173</v>
      </c>
      <c r="F24" s="177"/>
      <c r="G24" s="111"/>
      <c r="H24" s="112"/>
    </row>
    <row r="25" spans="2:8" ht="59.25" customHeight="1" x14ac:dyDescent="0.25">
      <c r="B25" s="108"/>
      <c r="C25" s="178" t="s">
        <v>161</v>
      </c>
      <c r="D25" s="179"/>
      <c r="E25" s="176" t="s">
        <v>174</v>
      </c>
      <c r="F25" s="177"/>
      <c r="G25" s="111"/>
      <c r="H25" s="112"/>
    </row>
    <row r="26" spans="2:8" ht="23.25" customHeight="1" x14ac:dyDescent="0.25">
      <c r="B26" s="108"/>
      <c r="C26" s="178" t="s">
        <v>12</v>
      </c>
      <c r="D26" s="179"/>
      <c r="E26" s="176" t="s">
        <v>175</v>
      </c>
      <c r="F26" s="177"/>
      <c r="G26" s="111"/>
      <c r="H26" s="112"/>
    </row>
    <row r="27" spans="2:8" ht="30.75" customHeight="1" x14ac:dyDescent="0.25">
      <c r="B27" s="108"/>
      <c r="C27" s="178" t="s">
        <v>179</v>
      </c>
      <c r="D27" s="179"/>
      <c r="E27" s="176" t="s">
        <v>176</v>
      </c>
      <c r="F27" s="177"/>
      <c r="G27" s="111"/>
      <c r="H27" s="112"/>
    </row>
    <row r="28" spans="2:8" ht="35.25" customHeight="1" x14ac:dyDescent="0.25">
      <c r="B28" s="108"/>
      <c r="C28" s="178" t="s">
        <v>180</v>
      </c>
      <c r="D28" s="179"/>
      <c r="E28" s="176" t="s">
        <v>177</v>
      </c>
      <c r="F28" s="177"/>
      <c r="G28" s="111"/>
      <c r="H28" s="112"/>
    </row>
    <row r="29" spans="2:8" ht="33" customHeight="1" x14ac:dyDescent="0.25">
      <c r="B29" s="108"/>
      <c r="C29" s="178" t="s">
        <v>180</v>
      </c>
      <c r="D29" s="179"/>
      <c r="E29" s="176" t="s">
        <v>177</v>
      </c>
      <c r="F29" s="177"/>
      <c r="G29" s="111"/>
      <c r="H29" s="112"/>
    </row>
    <row r="30" spans="2:8" ht="30" customHeight="1" x14ac:dyDescent="0.25">
      <c r="B30" s="108"/>
      <c r="C30" s="178" t="s">
        <v>181</v>
      </c>
      <c r="D30" s="179"/>
      <c r="E30" s="176" t="s">
        <v>178</v>
      </c>
      <c r="F30" s="177"/>
      <c r="G30" s="111"/>
      <c r="H30" s="112"/>
    </row>
    <row r="31" spans="2:8" ht="35.25" customHeight="1" x14ac:dyDescent="0.25">
      <c r="B31" s="108"/>
      <c r="C31" s="178" t="s">
        <v>182</v>
      </c>
      <c r="D31" s="179"/>
      <c r="E31" s="176" t="s">
        <v>183</v>
      </c>
      <c r="F31" s="177"/>
      <c r="G31" s="111"/>
      <c r="H31" s="112"/>
    </row>
    <row r="32" spans="2:8" ht="31.5" customHeight="1" x14ac:dyDescent="0.25">
      <c r="B32" s="108"/>
      <c r="C32" s="178" t="s">
        <v>184</v>
      </c>
      <c r="D32" s="179"/>
      <c r="E32" s="176" t="s">
        <v>185</v>
      </c>
      <c r="F32" s="177"/>
      <c r="G32" s="111"/>
      <c r="H32" s="112"/>
    </row>
    <row r="33" spans="2:8" ht="35.25" customHeight="1" x14ac:dyDescent="0.25">
      <c r="B33" s="108"/>
      <c r="C33" s="178" t="s">
        <v>186</v>
      </c>
      <c r="D33" s="179"/>
      <c r="E33" s="176" t="s">
        <v>187</v>
      </c>
      <c r="F33" s="177"/>
      <c r="G33" s="111"/>
      <c r="H33" s="112"/>
    </row>
    <row r="34" spans="2:8" ht="59.25" customHeight="1" x14ac:dyDescent="0.25">
      <c r="B34" s="108"/>
      <c r="C34" s="178" t="s">
        <v>188</v>
      </c>
      <c r="D34" s="179"/>
      <c r="E34" s="176" t="s">
        <v>189</v>
      </c>
      <c r="F34" s="177"/>
      <c r="G34" s="111"/>
      <c r="H34" s="112"/>
    </row>
    <row r="35" spans="2:8" ht="29.25" customHeight="1" x14ac:dyDescent="0.25">
      <c r="B35" s="108"/>
      <c r="C35" s="178" t="s">
        <v>29</v>
      </c>
      <c r="D35" s="179"/>
      <c r="E35" s="176" t="s">
        <v>190</v>
      </c>
      <c r="F35" s="177"/>
      <c r="G35" s="111"/>
      <c r="H35" s="112"/>
    </row>
    <row r="36" spans="2:8" ht="82.5" customHeight="1" x14ac:dyDescent="0.25">
      <c r="B36" s="108"/>
      <c r="C36" s="178" t="s">
        <v>192</v>
      </c>
      <c r="D36" s="179"/>
      <c r="E36" s="176" t="s">
        <v>191</v>
      </c>
      <c r="F36" s="177"/>
      <c r="G36" s="111"/>
      <c r="H36" s="112"/>
    </row>
    <row r="37" spans="2:8" ht="46.5" customHeight="1" x14ac:dyDescent="0.25">
      <c r="B37" s="108"/>
      <c r="C37" s="178" t="s">
        <v>38</v>
      </c>
      <c r="D37" s="179"/>
      <c r="E37" s="176" t="s">
        <v>193</v>
      </c>
      <c r="F37" s="177"/>
      <c r="G37" s="111"/>
      <c r="H37" s="112"/>
    </row>
    <row r="38" spans="2:8" ht="6.75" customHeight="1" thickBot="1" x14ac:dyDescent="0.3">
      <c r="B38" s="108"/>
      <c r="C38" s="189"/>
      <c r="D38" s="190"/>
      <c r="E38" s="191"/>
      <c r="F38" s="192"/>
      <c r="G38" s="111"/>
      <c r="H38" s="112"/>
    </row>
    <row r="39" spans="2:8" ht="15.75" thickTop="1" x14ac:dyDescent="0.25">
      <c r="B39" s="108"/>
      <c r="C39" s="109"/>
      <c r="D39" s="109"/>
      <c r="E39" s="110"/>
      <c r="F39" s="110"/>
      <c r="G39" s="111"/>
      <c r="H39" s="112"/>
    </row>
    <row r="40" spans="2:8" ht="21" customHeight="1" x14ac:dyDescent="0.25">
      <c r="B40" s="186" t="s">
        <v>202</v>
      </c>
      <c r="C40" s="187"/>
      <c r="D40" s="187"/>
      <c r="E40" s="187"/>
      <c r="F40" s="187"/>
      <c r="G40" s="187"/>
      <c r="H40" s="188"/>
    </row>
    <row r="41" spans="2:8" ht="20.25" customHeight="1" x14ac:dyDescent="0.25">
      <c r="B41" s="186" t="s">
        <v>203</v>
      </c>
      <c r="C41" s="187"/>
      <c r="D41" s="187"/>
      <c r="E41" s="187"/>
      <c r="F41" s="187"/>
      <c r="G41" s="187"/>
      <c r="H41" s="188"/>
    </row>
    <row r="42" spans="2:8" ht="20.25" customHeight="1" x14ac:dyDescent="0.25">
      <c r="B42" s="186" t="s">
        <v>204</v>
      </c>
      <c r="C42" s="187"/>
      <c r="D42" s="187"/>
      <c r="E42" s="187"/>
      <c r="F42" s="187"/>
      <c r="G42" s="187"/>
      <c r="H42" s="188"/>
    </row>
    <row r="43" spans="2:8" ht="20.25" customHeight="1" x14ac:dyDescent="0.25">
      <c r="B43" s="186" t="s">
        <v>205</v>
      </c>
      <c r="C43" s="187"/>
      <c r="D43" s="187"/>
      <c r="E43" s="187"/>
      <c r="F43" s="187"/>
      <c r="G43" s="187"/>
      <c r="H43" s="188"/>
    </row>
    <row r="44" spans="2:8" x14ac:dyDescent="0.25">
      <c r="B44" s="186" t="s">
        <v>206</v>
      </c>
      <c r="C44" s="187"/>
      <c r="D44" s="187"/>
      <c r="E44" s="187"/>
      <c r="F44" s="187"/>
      <c r="G44" s="187"/>
      <c r="H44" s="188"/>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69"/>
  <sheetViews>
    <sheetView tabSelected="1" topLeftCell="F1" zoomScale="66" zoomScaleNormal="70" workbookViewId="0">
      <selection sqref="A1:AK2"/>
    </sheetView>
  </sheetViews>
  <sheetFormatPr baseColWidth="10" defaultColWidth="11.42578125" defaultRowHeight="16.5" x14ac:dyDescent="0.3"/>
  <cols>
    <col min="1" max="1" width="4" style="2" bestFit="1" customWidth="1"/>
    <col min="2" max="2" width="16.5703125" style="2" customWidth="1"/>
    <col min="3" max="3" width="26.5703125" style="2" customWidth="1"/>
    <col min="4" max="4" width="24.85546875" style="2" customWidth="1"/>
    <col min="5" max="5" width="46.140625" style="1" customWidth="1"/>
    <col min="6" max="6" width="19" style="5" customWidth="1"/>
    <col min="7" max="7" width="17.85546875" style="1" customWidth="1"/>
    <col min="8" max="8" width="16.5703125" style="1" customWidth="1"/>
    <col min="9" max="9" width="6.42578125" style="1" bestFit="1" customWidth="1"/>
    <col min="10" max="10" width="27.42578125" style="1" bestFit="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11.8554687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28.5703125" style="1" customWidth="1"/>
    <col min="32" max="32" width="14" style="1" customWidth="1"/>
    <col min="33" max="33" width="18.85546875" style="1" customWidth="1"/>
    <col min="34" max="34" width="13.5703125" style="1" customWidth="1"/>
    <col min="35" max="35" width="12.42578125" style="1" customWidth="1"/>
    <col min="36" max="36" width="31.85546875" style="1" customWidth="1"/>
    <col min="37" max="37" width="21" style="1" customWidth="1"/>
    <col min="38" max="38" width="14.42578125" style="1" customWidth="1"/>
    <col min="39" max="16384" width="11.42578125" style="1"/>
  </cols>
  <sheetData>
    <row r="1" spans="1:69" ht="16.5" customHeight="1" x14ac:dyDescent="0.3">
      <c r="A1" s="435" t="s">
        <v>247</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436"/>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8.1" customHeight="1" x14ac:dyDescent="0.3">
      <c r="A2" s="437"/>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9"/>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223" t="s">
        <v>42</v>
      </c>
      <c r="B4" s="224"/>
      <c r="C4" s="216" t="s">
        <v>214</v>
      </c>
      <c r="D4" s="217"/>
      <c r="E4" s="217"/>
      <c r="F4" s="217"/>
      <c r="G4" s="217"/>
      <c r="H4" s="217"/>
      <c r="I4" s="217"/>
      <c r="J4" s="217"/>
      <c r="K4" s="217"/>
      <c r="L4" s="217"/>
      <c r="M4" s="217"/>
      <c r="N4" s="218"/>
      <c r="O4" s="219"/>
      <c r="P4" s="219"/>
      <c r="Q4" s="219"/>
      <c r="R4" s="7"/>
      <c r="S4" s="7"/>
      <c r="T4" s="7"/>
      <c r="U4" s="7"/>
      <c r="V4" s="7"/>
      <c r="W4" s="7"/>
      <c r="X4" s="7"/>
      <c r="Y4" s="7"/>
      <c r="Z4" s="7"/>
      <c r="AA4" s="7"/>
      <c r="AB4" s="7"/>
      <c r="AC4" s="7"/>
      <c r="AD4" s="7"/>
      <c r="AE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5" customHeight="1" x14ac:dyDescent="0.3">
      <c r="A5" s="223" t="s">
        <v>129</v>
      </c>
      <c r="B5" s="224"/>
      <c r="C5" s="225" t="s">
        <v>220</v>
      </c>
      <c r="D5" s="226"/>
      <c r="E5" s="226"/>
      <c r="F5" s="165"/>
      <c r="G5" s="165"/>
      <c r="H5" s="165"/>
      <c r="I5" s="165"/>
      <c r="J5" s="165"/>
      <c r="K5" s="165"/>
      <c r="L5" s="165"/>
      <c r="M5" s="165"/>
      <c r="N5" s="166"/>
      <c r="O5" s="7"/>
      <c r="P5" s="7"/>
      <c r="Q5" s="7"/>
      <c r="R5" s="7"/>
      <c r="S5" s="7"/>
      <c r="T5" s="7"/>
      <c r="U5" s="7"/>
      <c r="V5" s="7"/>
      <c r="W5" s="7"/>
      <c r="X5" s="7"/>
      <c r="Y5" s="7"/>
      <c r="Z5" s="7"/>
      <c r="AA5" s="7"/>
      <c r="AB5" s="7"/>
      <c r="AC5" s="7"/>
      <c r="AD5" s="7"/>
      <c r="AE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3">
      <c r="A6" s="223" t="s">
        <v>43</v>
      </c>
      <c r="B6" s="224"/>
      <c r="C6" s="227" t="s">
        <v>221</v>
      </c>
      <c r="D6" s="228"/>
      <c r="E6" s="228"/>
      <c r="F6" s="165"/>
      <c r="G6" s="165"/>
      <c r="H6" s="165"/>
      <c r="I6" s="165"/>
      <c r="J6" s="165"/>
      <c r="K6" s="165"/>
      <c r="L6" s="165"/>
      <c r="M6" s="165"/>
      <c r="N6" s="166"/>
      <c r="O6" s="7"/>
      <c r="P6" s="7"/>
      <c r="Q6" s="7"/>
      <c r="R6" s="7"/>
      <c r="S6" s="7"/>
      <c r="T6" s="7"/>
      <c r="U6" s="7"/>
      <c r="V6" s="7"/>
      <c r="W6" s="7"/>
      <c r="X6" s="7"/>
      <c r="Y6" s="7"/>
      <c r="Z6" s="7"/>
      <c r="AA6" s="7"/>
      <c r="AB6" s="7"/>
      <c r="AC6" s="7"/>
      <c r="AD6" s="7"/>
      <c r="AE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220" t="s">
        <v>138</v>
      </c>
      <c r="B7" s="221"/>
      <c r="C7" s="221"/>
      <c r="D7" s="221"/>
      <c r="E7" s="221"/>
      <c r="F7" s="221"/>
      <c r="G7" s="222"/>
      <c r="H7" s="220" t="s">
        <v>139</v>
      </c>
      <c r="I7" s="221"/>
      <c r="J7" s="221"/>
      <c r="K7" s="221"/>
      <c r="L7" s="221"/>
      <c r="M7" s="221"/>
      <c r="N7" s="222"/>
      <c r="O7" s="220" t="s">
        <v>140</v>
      </c>
      <c r="P7" s="221"/>
      <c r="Q7" s="221"/>
      <c r="R7" s="221"/>
      <c r="S7" s="221"/>
      <c r="T7" s="221"/>
      <c r="U7" s="221"/>
      <c r="V7" s="221"/>
      <c r="W7" s="222"/>
      <c r="X7" s="220" t="s">
        <v>141</v>
      </c>
      <c r="Y7" s="221"/>
      <c r="Z7" s="221"/>
      <c r="AA7" s="221"/>
      <c r="AB7" s="221"/>
      <c r="AC7" s="221"/>
      <c r="AD7" s="222"/>
      <c r="AE7" s="220" t="s">
        <v>34</v>
      </c>
      <c r="AF7" s="221"/>
      <c r="AG7" s="221"/>
      <c r="AH7" s="221"/>
      <c r="AI7" s="221"/>
      <c r="AJ7" s="221"/>
      <c r="AK7" s="222"/>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71" t="s">
        <v>0</v>
      </c>
      <c r="B8" s="276" t="s">
        <v>2</v>
      </c>
      <c r="C8" s="274" t="s">
        <v>3</v>
      </c>
      <c r="D8" s="274" t="s">
        <v>41</v>
      </c>
      <c r="E8" s="275" t="s">
        <v>1</v>
      </c>
      <c r="F8" s="273" t="s">
        <v>49</v>
      </c>
      <c r="G8" s="274" t="s">
        <v>134</v>
      </c>
      <c r="H8" s="282" t="s">
        <v>33</v>
      </c>
      <c r="I8" s="283" t="s">
        <v>5</v>
      </c>
      <c r="J8" s="273" t="s">
        <v>86</v>
      </c>
      <c r="K8" s="273" t="s">
        <v>91</v>
      </c>
      <c r="L8" s="285" t="s">
        <v>44</v>
      </c>
      <c r="M8" s="283" t="s">
        <v>5</v>
      </c>
      <c r="N8" s="274" t="s">
        <v>47</v>
      </c>
      <c r="O8" s="280" t="s">
        <v>11</v>
      </c>
      <c r="P8" s="277" t="s">
        <v>161</v>
      </c>
      <c r="Q8" s="273" t="s">
        <v>12</v>
      </c>
      <c r="R8" s="277" t="s">
        <v>8</v>
      </c>
      <c r="S8" s="277"/>
      <c r="T8" s="277"/>
      <c r="U8" s="277"/>
      <c r="V8" s="277"/>
      <c r="W8" s="277"/>
      <c r="X8" s="279" t="s">
        <v>137</v>
      </c>
      <c r="Y8" s="279" t="s">
        <v>45</v>
      </c>
      <c r="Z8" s="279" t="s">
        <v>5</v>
      </c>
      <c r="AA8" s="279" t="s">
        <v>46</v>
      </c>
      <c r="AB8" s="279" t="s">
        <v>5</v>
      </c>
      <c r="AC8" s="279" t="s">
        <v>48</v>
      </c>
      <c r="AD8" s="280" t="s">
        <v>29</v>
      </c>
      <c r="AE8" s="277" t="s">
        <v>34</v>
      </c>
      <c r="AF8" s="277" t="s">
        <v>212</v>
      </c>
      <c r="AG8" s="277" t="s">
        <v>35</v>
      </c>
      <c r="AH8" s="277" t="s">
        <v>36</v>
      </c>
      <c r="AI8" s="277" t="s">
        <v>37</v>
      </c>
      <c r="AJ8" s="278" t="s">
        <v>239</v>
      </c>
      <c r="AK8" s="277"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42" customHeight="1" x14ac:dyDescent="0.25">
      <c r="A9" s="272"/>
      <c r="B9" s="276"/>
      <c r="C9" s="277"/>
      <c r="D9" s="277"/>
      <c r="E9" s="276"/>
      <c r="F9" s="274"/>
      <c r="G9" s="277"/>
      <c r="H9" s="274"/>
      <c r="I9" s="284"/>
      <c r="J9" s="274"/>
      <c r="K9" s="274"/>
      <c r="L9" s="284"/>
      <c r="M9" s="284"/>
      <c r="N9" s="277"/>
      <c r="O9" s="281"/>
      <c r="P9" s="277"/>
      <c r="Q9" s="274"/>
      <c r="R9" s="137" t="s">
        <v>13</v>
      </c>
      <c r="S9" s="137" t="s">
        <v>17</v>
      </c>
      <c r="T9" s="137" t="s">
        <v>28</v>
      </c>
      <c r="U9" s="137" t="s">
        <v>18</v>
      </c>
      <c r="V9" s="137" t="s">
        <v>21</v>
      </c>
      <c r="W9" s="137" t="s">
        <v>24</v>
      </c>
      <c r="X9" s="279"/>
      <c r="Y9" s="279"/>
      <c r="Z9" s="279"/>
      <c r="AA9" s="279"/>
      <c r="AB9" s="279"/>
      <c r="AC9" s="279"/>
      <c r="AD9" s="281"/>
      <c r="AE9" s="277"/>
      <c r="AF9" s="277"/>
      <c r="AG9" s="277"/>
      <c r="AH9" s="277"/>
      <c r="AI9" s="277"/>
      <c r="AJ9" s="278"/>
      <c r="AK9" s="277"/>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74" customHeight="1" x14ac:dyDescent="0.25">
      <c r="A10" s="238">
        <v>1</v>
      </c>
      <c r="B10" s="241" t="s">
        <v>131</v>
      </c>
      <c r="C10" s="241" t="s">
        <v>215</v>
      </c>
      <c r="D10" s="247" t="s">
        <v>232</v>
      </c>
      <c r="E10" s="247" t="s">
        <v>231</v>
      </c>
      <c r="F10" s="241" t="s">
        <v>122</v>
      </c>
      <c r="G10" s="262">
        <v>60</v>
      </c>
      <c r="H10" s="265" t="str">
        <f>IF(G10&lt;=0,"",IF(G10&lt;=2,"Muy Baja",IF(G10&lt;=24,"Baja",IF(G10&lt;=500,"Media",IF(G10&lt;=5000,"Alta","Muy Alta")))))</f>
        <v>Media</v>
      </c>
      <c r="I10" s="259">
        <f>IF(H10="","",IF(H10="Muy Baja",0.2,IF(H10="Baja",0.4,IF(H10="Media",0.6,IF(H10="Alta",0.8,IF(H10="Muy Alta",1,))))))</f>
        <v>0.6</v>
      </c>
      <c r="J10" s="256" t="s">
        <v>154</v>
      </c>
      <c r="K10" s="259"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65" t="str">
        <f>IF(OR(K10='Tabla Impacto'!$C$11,K10='Tabla Impacto'!$D$11),"Leve",IF(OR(K10='Tabla Impacto'!$C$12,K10='Tabla Impacto'!$D$12),"Menor",IF(OR(K10='Tabla Impacto'!$C$13,K10='Tabla Impacto'!$D$13),"Moderado",IF(OR(K10='Tabla Impacto'!$C$14,K10='Tabla Impacto'!$D$14),"Mayor",IF(OR(K10='Tabla Impacto'!$C$15,K10='Tabla Impacto'!$D$15),"Catastrófico","")))))</f>
        <v>Mayor</v>
      </c>
      <c r="M10" s="259">
        <f>IF(L10="","",IF(L10="Leve",0.2,IF(L10="Menor",0.4,IF(L10="Moderado",0.6,IF(L10="Mayor",0.8,IF(L10="Catastrófico",1,))))))</f>
        <v>0.8</v>
      </c>
      <c r="N10" s="26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47" t="s">
        <v>236</v>
      </c>
      <c r="Q10" s="139" t="str">
        <f>IF(OR(R10="Preventivo",R10="Detectivo"),"Probabilidad",IF(R10="Correctivo","Impacto",""))</f>
        <v>Probabilidad</v>
      </c>
      <c r="R10" s="140" t="s">
        <v>15</v>
      </c>
      <c r="S10" s="140" t="s">
        <v>9</v>
      </c>
      <c r="T10" s="141" t="str">
        <f>IF(AND(R10="Preventivo",S10="Automático"),"50%",IF(AND(R10="Preventivo",S10="Manual"),"40%",IF(AND(R10="Detectivo",S10="Automático"),"40%",IF(AND(R10="Detectivo",S10="Manual"),"30%",IF(AND(R10="Correctivo",S10="Automático"),"35%",IF(AND(R10="Correctivo",S10="Manual"),"25%",""))))))</f>
        <v>30%</v>
      </c>
      <c r="U10" s="140" t="s">
        <v>19</v>
      </c>
      <c r="V10" s="140" t="s">
        <v>22</v>
      </c>
      <c r="W10" s="140" t="s">
        <v>118</v>
      </c>
      <c r="X10" s="142">
        <f>IFERROR(IF(Q10="Probabilidad",(I10-(+I10*T10)),IF(Q10="Impacto",I10,"")),"")</f>
        <v>0.42</v>
      </c>
      <c r="Y10" s="143" t="str">
        <f>IFERROR(IF(X10="","",IF(X10&lt;=0.2,"Muy Baja",IF(X10&lt;=0.4,"Baja",IF(X10&lt;=0.6,"Media",IF(X10&lt;=0.8,"Alta","Muy Alta"))))),"")</f>
        <v>Media</v>
      </c>
      <c r="Z10" s="144">
        <f>+X10</f>
        <v>0.42</v>
      </c>
      <c r="AA10" s="143" t="str">
        <f>IFERROR(IF(AB10="","",IF(AB10&lt;=0.2,"Leve",IF(AB10&lt;=0.4,"Menor",IF(AB10&lt;=0.6,"Moderado",IF(AB10&lt;=0.8,"Mayor","Catastrófico"))))),"")</f>
        <v>Mayor</v>
      </c>
      <c r="AB10" s="144">
        <f>IFERROR(IF(Q10="Impacto",(M10-(+M10*T10)),IF(Q10="Probabilidad",M10,"")),"")</f>
        <v>0.8</v>
      </c>
      <c r="AC10" s="145"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6" t="s">
        <v>135</v>
      </c>
      <c r="AE10" s="147" t="s">
        <v>237</v>
      </c>
      <c r="AF10" s="147" t="s">
        <v>223</v>
      </c>
      <c r="AG10" s="168" t="s">
        <v>240</v>
      </c>
      <c r="AH10" s="148">
        <v>45292</v>
      </c>
      <c r="AI10" s="148">
        <v>45657</v>
      </c>
      <c r="AJ10" s="172"/>
      <c r="AK10" s="149"/>
      <c r="AL10" s="171"/>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41.6" customHeight="1" x14ac:dyDescent="0.3">
      <c r="A11" s="239"/>
      <c r="B11" s="242"/>
      <c r="C11" s="242"/>
      <c r="D11" s="248"/>
      <c r="E11" s="248"/>
      <c r="F11" s="242"/>
      <c r="G11" s="263"/>
      <c r="H11" s="266"/>
      <c r="I11" s="260"/>
      <c r="J11" s="257"/>
      <c r="K11" s="260">
        <f>IF(NOT(ISERROR(MATCH(J11,_xlfn.ANCHORARRAY(E22),0))),I24&amp;"Por favor no seleccionar los criterios de impacto",J11)</f>
        <v>0</v>
      </c>
      <c r="L11" s="266"/>
      <c r="M11" s="260"/>
      <c r="N11" s="269"/>
      <c r="O11" s="6">
        <v>2</v>
      </c>
      <c r="P11" s="147" t="s">
        <v>241</v>
      </c>
      <c r="Q11" s="139" t="s">
        <v>4</v>
      </c>
      <c r="R11" s="140" t="s">
        <v>15</v>
      </c>
      <c r="S11" s="140" t="s">
        <v>9</v>
      </c>
      <c r="T11" s="141">
        <v>0.3</v>
      </c>
      <c r="U11" s="140" t="s">
        <v>19</v>
      </c>
      <c r="V11" s="140" t="s">
        <v>22</v>
      </c>
      <c r="W11" s="140" t="s">
        <v>118</v>
      </c>
      <c r="X11" s="142">
        <v>0.42</v>
      </c>
      <c r="Y11" s="143" t="s">
        <v>106</v>
      </c>
      <c r="Z11" s="144">
        <v>0.42</v>
      </c>
      <c r="AA11" s="143" t="s">
        <v>7</v>
      </c>
      <c r="AB11" s="144">
        <v>0.8</v>
      </c>
      <c r="AC11" s="145" t="s">
        <v>79</v>
      </c>
      <c r="AD11" s="146" t="s">
        <v>135</v>
      </c>
      <c r="AE11" s="147" t="s">
        <v>238</v>
      </c>
      <c r="AF11" s="147" t="s">
        <v>223</v>
      </c>
      <c r="AG11" s="168" t="s">
        <v>240</v>
      </c>
      <c r="AH11" s="148">
        <v>45292</v>
      </c>
      <c r="AI11" s="148">
        <v>45657</v>
      </c>
      <c r="AJ11" s="173"/>
      <c r="AK11" s="133"/>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66" hidden="1" x14ac:dyDescent="0.3">
      <c r="A12" s="239"/>
      <c r="B12" s="242"/>
      <c r="C12" s="242"/>
      <c r="D12" s="248"/>
      <c r="E12" s="248"/>
      <c r="F12" s="242"/>
      <c r="G12" s="263"/>
      <c r="H12" s="266"/>
      <c r="I12" s="260"/>
      <c r="J12" s="257"/>
      <c r="K12" s="260">
        <f>IF(NOT(ISERROR(MATCH(J12,_xlfn.ANCHORARRAY(E23),0))),I25&amp;"Por favor no seleccionar los criterios de impacto",J12)</f>
        <v>0</v>
      </c>
      <c r="L12" s="266"/>
      <c r="M12" s="260"/>
      <c r="N12" s="269"/>
      <c r="O12" s="122">
        <v>3</v>
      </c>
      <c r="P12" s="135"/>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47"/>
      <c r="AF12" s="147"/>
      <c r="AG12" s="168" t="s">
        <v>240</v>
      </c>
      <c r="AH12" s="134"/>
      <c r="AI12" s="134"/>
      <c r="AJ12" s="173"/>
      <c r="AK12" s="133"/>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66" hidden="1" x14ac:dyDescent="0.3">
      <c r="A13" s="239"/>
      <c r="B13" s="242"/>
      <c r="C13" s="242"/>
      <c r="D13" s="248"/>
      <c r="E13" s="248"/>
      <c r="F13" s="242"/>
      <c r="G13" s="263"/>
      <c r="H13" s="266"/>
      <c r="I13" s="260"/>
      <c r="J13" s="257"/>
      <c r="K13" s="260">
        <f>IF(NOT(ISERROR(MATCH(J13,_xlfn.ANCHORARRAY(E24),0))),I26&amp;"Por favor no seleccionar los criterios de impacto",J13)</f>
        <v>0</v>
      </c>
      <c r="L13" s="266"/>
      <c r="M13" s="260"/>
      <c r="N13" s="269"/>
      <c r="O13" s="122">
        <v>4</v>
      </c>
      <c r="P13" s="123"/>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47"/>
      <c r="AF13" s="147"/>
      <c r="AG13" s="168" t="s">
        <v>240</v>
      </c>
      <c r="AH13" s="134"/>
      <c r="AI13" s="134"/>
      <c r="AJ13" s="173"/>
      <c r="AK13" s="133"/>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66" hidden="1" x14ac:dyDescent="0.3">
      <c r="A14" s="239"/>
      <c r="B14" s="242"/>
      <c r="C14" s="242"/>
      <c r="D14" s="248"/>
      <c r="E14" s="248"/>
      <c r="F14" s="242"/>
      <c r="G14" s="263"/>
      <c r="H14" s="266"/>
      <c r="I14" s="260"/>
      <c r="J14" s="257"/>
      <c r="K14" s="260">
        <f>IF(NOT(ISERROR(MATCH(J14,_xlfn.ANCHORARRAY(E25),0))),I27&amp;"Por favor no seleccionar los criterios de impacto",J14)</f>
        <v>0</v>
      </c>
      <c r="L14" s="266"/>
      <c r="M14" s="260"/>
      <c r="N14" s="269"/>
      <c r="O14" s="122">
        <v>5</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47"/>
      <c r="AF14" s="147"/>
      <c r="AG14" s="168" t="s">
        <v>240</v>
      </c>
      <c r="AH14" s="134"/>
      <c r="AI14" s="134"/>
      <c r="AJ14" s="173"/>
      <c r="AK14" s="13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66" hidden="1" x14ac:dyDescent="0.3">
      <c r="A15" s="240"/>
      <c r="B15" s="243"/>
      <c r="C15" s="243"/>
      <c r="D15" s="249"/>
      <c r="E15" s="249"/>
      <c r="F15" s="243"/>
      <c r="G15" s="264"/>
      <c r="H15" s="267"/>
      <c r="I15" s="261"/>
      <c r="J15" s="258"/>
      <c r="K15" s="261">
        <f>IF(NOT(ISERROR(MATCH(J15,_xlfn.ANCHORARRAY(E26),0))),I28&amp;"Por favor no seleccionar los criterios de impacto",J15)</f>
        <v>0</v>
      </c>
      <c r="L15" s="267"/>
      <c r="M15" s="261"/>
      <c r="N15" s="270"/>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47"/>
      <c r="AF15" s="147"/>
      <c r="AG15" s="168" t="s">
        <v>240</v>
      </c>
      <c r="AH15" s="134"/>
      <c r="AI15" s="134"/>
      <c r="AJ15" s="173"/>
      <c r="AK15" s="13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39.25" customHeight="1" x14ac:dyDescent="0.3">
      <c r="A16" s="238">
        <v>2</v>
      </c>
      <c r="B16" s="241" t="s">
        <v>133</v>
      </c>
      <c r="C16" s="241" t="s">
        <v>218</v>
      </c>
      <c r="D16" s="247" t="s">
        <v>230</v>
      </c>
      <c r="E16" s="247" t="s">
        <v>235</v>
      </c>
      <c r="F16" s="241" t="s">
        <v>122</v>
      </c>
      <c r="G16" s="262">
        <v>700</v>
      </c>
      <c r="H16" s="265" t="str">
        <f>IF(G16&lt;=0,"",IF(G16&lt;=2,"Muy Baja",IF(G16&lt;=24,"Baja",IF(G16&lt;=500,"Media",IF(G16&lt;=5000,"Alta","Muy Alta")))))</f>
        <v>Alta</v>
      </c>
      <c r="I16" s="259">
        <f>IF(H16="","",IF(H16="Muy Baja",0.2,IF(H16="Baja",0.4,IF(H16="Media",0.6,IF(H16="Alta",0.8,IF(H16="Muy Alta",1,))))))</f>
        <v>0.8</v>
      </c>
      <c r="J16" s="256" t="s">
        <v>153</v>
      </c>
      <c r="K16" s="259"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65" t="str">
        <f>IF(OR(K16='Tabla Impacto'!$C$11,K16='Tabla Impacto'!$D$11),"Leve",IF(OR(K16='Tabla Impacto'!$C$12,K16='Tabla Impacto'!$D$12),"Menor",IF(OR(K16='Tabla Impacto'!$C$13,K16='Tabla Impacto'!$D$13),"Moderado",IF(OR(K16='Tabla Impacto'!$C$14,K16='Tabla Impacto'!$D$14),"Mayor",IF(OR(K16='Tabla Impacto'!$C$15,K16='Tabla Impacto'!$D$15),"Catastrófico","")))))</f>
        <v>Moderado</v>
      </c>
      <c r="M16" s="259">
        <f>IF(L16="","",IF(L16="Leve",0.2,IF(L16="Menor",0.4,IF(L16="Moderado",0.6,IF(L16="Mayor",0.8,IF(L16="Catastrófico",1,))))))</f>
        <v>0.6</v>
      </c>
      <c r="N16" s="26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50" t="s">
        <v>248</v>
      </c>
      <c r="Q16" s="139" t="str">
        <f>IF(OR(R16="Preventivo",R16="Detectivo"),"Probabilidad",IF(R16="Correctivo","Impacto",""))</f>
        <v>Probabilidad</v>
      </c>
      <c r="R16" s="140" t="s">
        <v>14</v>
      </c>
      <c r="S16" s="140" t="s">
        <v>10</v>
      </c>
      <c r="T16" s="141" t="str">
        <f>IF(AND(R16="Preventivo",S16="Automático"),"50%",IF(AND(R16="Preventivo",S16="Manual"),"40%",IF(AND(R16="Detectivo",S16="Automático"),"40%",IF(AND(R16="Detectivo",S16="Manual"),"30%",IF(AND(R16="Correctivo",S16="Automático"),"35%",IF(AND(R16="Correctivo",S16="Manual"),"25%",""))))))</f>
        <v>50%</v>
      </c>
      <c r="U16" s="140" t="s">
        <v>19</v>
      </c>
      <c r="V16" s="140" t="s">
        <v>22</v>
      </c>
      <c r="W16" s="140" t="s">
        <v>118</v>
      </c>
      <c r="X16" s="142">
        <f>IFERROR(IF(Q16="Probabilidad",(I16-(+I16*T16)),IF(Q16="Impacto",I16,"")),"")</f>
        <v>0.4</v>
      </c>
      <c r="Y16" s="143" t="str">
        <f>IFERROR(IF(X16="","",IF(X16&lt;=0.2,"Muy Baja",IF(X16&lt;=0.4,"Baja",IF(X16&lt;=0.6,"Media",IF(X16&lt;=0.8,"Alta","Muy Alta"))))),"")</f>
        <v>Baja</v>
      </c>
      <c r="Z16" s="144">
        <f>+X16</f>
        <v>0.4</v>
      </c>
      <c r="AA16" s="143" t="str">
        <f>IFERROR(IF(AB16="","",IF(AB16&lt;=0.2,"Leve",IF(AB16&lt;=0.4,"Menor",IF(AB16&lt;=0.6,"Moderado",IF(AB16&lt;=0.8,"Mayor","Catastrófico"))))),"")</f>
        <v>Moderado</v>
      </c>
      <c r="AB16" s="144">
        <f>IFERROR(IF(Q16="Impacto",(M16-(+M16*T16)),IF(Q16="Probabilidad",M16,"")),"")</f>
        <v>0.6</v>
      </c>
      <c r="AC16" s="145"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46"/>
      <c r="AE16" s="147" t="s">
        <v>246</v>
      </c>
      <c r="AF16" s="147" t="s">
        <v>213</v>
      </c>
      <c r="AG16" s="168" t="s">
        <v>240</v>
      </c>
      <c r="AH16" s="148">
        <v>45292</v>
      </c>
      <c r="AI16" s="148">
        <v>45657</v>
      </c>
      <c r="AJ16" s="174"/>
      <c r="AK16" s="149"/>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35" hidden="1" customHeight="1" x14ac:dyDescent="0.3">
      <c r="A17" s="239"/>
      <c r="B17" s="242"/>
      <c r="C17" s="242"/>
      <c r="D17" s="248"/>
      <c r="E17" s="248"/>
      <c r="F17" s="242"/>
      <c r="G17" s="263"/>
      <c r="H17" s="266"/>
      <c r="I17" s="260"/>
      <c r="J17" s="257"/>
      <c r="K17" s="260">
        <f t="shared" ref="K17:K21" si="8">IF(NOT(ISERROR(MATCH(J17,_xlfn.ANCHORARRAY(E28),0))),I30&amp;"Por favor no seleccionar los criterios de impacto",J17)</f>
        <v>0</v>
      </c>
      <c r="L17" s="266"/>
      <c r="M17" s="260"/>
      <c r="N17" s="269"/>
      <c r="O17" s="6">
        <v>2</v>
      </c>
      <c r="P17" s="150"/>
      <c r="Q17" s="139"/>
      <c r="R17" s="140"/>
      <c r="S17" s="140"/>
      <c r="T17" s="141"/>
      <c r="U17" s="140"/>
      <c r="V17" s="140"/>
      <c r="W17" s="140"/>
      <c r="X17" s="142"/>
      <c r="Y17" s="143"/>
      <c r="Z17" s="144"/>
      <c r="AA17" s="143"/>
      <c r="AB17" s="144"/>
      <c r="AC17" s="145"/>
      <c r="AD17" s="146"/>
      <c r="AE17" s="147"/>
      <c r="AF17" s="147"/>
      <c r="AG17" s="147" t="s">
        <v>224</v>
      </c>
      <c r="AH17" s="148"/>
      <c r="AI17" s="148"/>
      <c r="AJ17" s="175"/>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239"/>
      <c r="B18" s="242"/>
      <c r="C18" s="242"/>
      <c r="D18" s="248"/>
      <c r="E18" s="248"/>
      <c r="F18" s="242"/>
      <c r="G18" s="263"/>
      <c r="H18" s="266"/>
      <c r="I18" s="260"/>
      <c r="J18" s="257"/>
      <c r="K18" s="260">
        <f t="shared" si="8"/>
        <v>0</v>
      </c>
      <c r="L18" s="266"/>
      <c r="M18" s="260"/>
      <c r="N18" s="269"/>
      <c r="O18" s="6">
        <v>3</v>
      </c>
      <c r="P18" s="147"/>
      <c r="Q18" s="139"/>
      <c r="R18" s="140"/>
      <c r="S18" s="140"/>
      <c r="T18" s="141"/>
      <c r="U18" s="140"/>
      <c r="V18" s="140"/>
      <c r="W18" s="140"/>
      <c r="X18" s="142"/>
      <c r="Y18" s="143"/>
      <c r="Z18" s="144"/>
      <c r="AA18" s="143"/>
      <c r="AB18" s="144"/>
      <c r="AC18" s="145"/>
      <c r="AD18" s="146"/>
      <c r="AE18" s="147"/>
      <c r="AF18" s="147"/>
      <c r="AG18" s="147"/>
      <c r="AH18" s="148"/>
      <c r="AI18" s="148"/>
      <c r="AJ18" s="175"/>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239"/>
      <c r="B19" s="242"/>
      <c r="C19" s="242"/>
      <c r="D19" s="248"/>
      <c r="E19" s="248"/>
      <c r="F19" s="242"/>
      <c r="G19" s="263"/>
      <c r="H19" s="266"/>
      <c r="I19" s="260"/>
      <c r="J19" s="257"/>
      <c r="K19" s="260">
        <f t="shared" si="8"/>
        <v>0</v>
      </c>
      <c r="L19" s="266"/>
      <c r="M19" s="260"/>
      <c r="N19" s="269"/>
      <c r="O19" s="122">
        <v>4</v>
      </c>
      <c r="P19" s="123"/>
      <c r="Q19" s="124" t="str">
        <f t="shared" ref="Q19:Q21" si="9">IF(OR(R19="Preventivo",R19="Detectivo"),"Probabilidad",IF(R19="Correctivo","Impacto",""))</f>
        <v/>
      </c>
      <c r="R19" s="125"/>
      <c r="S19" s="125"/>
      <c r="T19" s="126" t="str">
        <f t="shared" ref="T19:T21" si="10">IF(AND(R19="Preventivo",S19="Automático"),"50%",IF(AND(R19="Preventivo",S19="Manual"),"40%",IF(AND(R19="Detectivo",S19="Automático"),"40%",IF(AND(R19="Detectivo",S19="Manual"),"30%",IF(AND(R19="Correctivo",S19="Automático"),"35%",IF(AND(R19="Correctivo",S19="Manual"),"25%",""))))))</f>
        <v/>
      </c>
      <c r="U19" s="125"/>
      <c r="V19" s="125"/>
      <c r="W19" s="125"/>
      <c r="X19" s="127" t="str">
        <f t="shared" ref="X19:X21" si="11">IFERROR(IF(AND(Q18="Probabilidad",Q19="Probabilidad"),(Z18-(+Z18*T19)),IF(AND(Q18="Impacto",Q19="Probabilidad"),(Z17-(+Z17*T19)),IF(Q19="Impacto",Z18,""))),"")</f>
        <v/>
      </c>
      <c r="Y19" s="128" t="str">
        <f t="shared" ref="Y19:Y21" si="12">IFERROR(IF(X19="","",IF(X19&lt;=0.2,"Muy Baja",IF(X19&lt;=0.4,"Baja",IF(X19&lt;=0.6,"Media",IF(X19&lt;=0.8,"Alta","Muy Alta"))))),"")</f>
        <v/>
      </c>
      <c r="Z19" s="129" t="str">
        <f t="shared" ref="Z19:Z21" si="13">+X19</f>
        <v/>
      </c>
      <c r="AA19" s="128" t="str">
        <f t="shared" ref="AA19:AA20" si="14">IFERROR(IF(AB19="","",IF(AB19&lt;=0.2,"Leve",IF(AB19&lt;=0.4,"Menor",IF(AB19&lt;=0.6,"Moderado",IF(AB19&lt;=0.8,"Mayor","Catastrófico"))))),"")</f>
        <v/>
      </c>
      <c r="AB19" s="129" t="str">
        <f t="shared" ref="AB19:AB21" si="15">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32"/>
      <c r="AG19" s="133"/>
      <c r="AH19" s="134"/>
      <c r="AI19" s="134"/>
      <c r="AJ19" s="175"/>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239"/>
      <c r="B20" s="242"/>
      <c r="C20" s="242"/>
      <c r="D20" s="248"/>
      <c r="E20" s="248"/>
      <c r="F20" s="242"/>
      <c r="G20" s="263"/>
      <c r="H20" s="266"/>
      <c r="I20" s="260"/>
      <c r="J20" s="257"/>
      <c r="K20" s="260">
        <f t="shared" si="8"/>
        <v>0</v>
      </c>
      <c r="L20" s="266"/>
      <c r="M20" s="260"/>
      <c r="N20" s="269"/>
      <c r="O20" s="122">
        <v>5</v>
      </c>
      <c r="P20" s="123"/>
      <c r="Q20" s="124" t="str">
        <f t="shared" si="9"/>
        <v/>
      </c>
      <c r="R20" s="125"/>
      <c r="S20" s="125"/>
      <c r="T20" s="126" t="str">
        <f t="shared" si="10"/>
        <v/>
      </c>
      <c r="U20" s="125"/>
      <c r="V20" s="125"/>
      <c r="W20" s="125"/>
      <c r="X20" s="127" t="str">
        <f t="shared" si="11"/>
        <v/>
      </c>
      <c r="Y20" s="128" t="str">
        <f t="shared" si="12"/>
        <v/>
      </c>
      <c r="Z20" s="129" t="str">
        <f t="shared" si="13"/>
        <v/>
      </c>
      <c r="AA20" s="128" t="str">
        <f t="shared" si="14"/>
        <v/>
      </c>
      <c r="AB20" s="129" t="str">
        <f t="shared" si="15"/>
        <v/>
      </c>
      <c r="AC20" s="130" t="str">
        <f t="shared" ref="AC20" si="16">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32"/>
      <c r="AG20" s="133"/>
      <c r="AH20" s="134"/>
      <c r="AI20" s="134"/>
      <c r="AJ20" s="175"/>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4.1" hidden="1" customHeight="1" x14ac:dyDescent="0.3">
      <c r="A21" s="240"/>
      <c r="B21" s="243"/>
      <c r="C21" s="243"/>
      <c r="D21" s="249"/>
      <c r="E21" s="249"/>
      <c r="F21" s="243"/>
      <c r="G21" s="264"/>
      <c r="H21" s="267"/>
      <c r="I21" s="261"/>
      <c r="J21" s="258"/>
      <c r="K21" s="261">
        <f t="shared" si="8"/>
        <v>0</v>
      </c>
      <c r="L21" s="267"/>
      <c r="M21" s="261"/>
      <c r="N21" s="270"/>
      <c r="O21" s="122">
        <v>6</v>
      </c>
      <c r="P21" s="123"/>
      <c r="Q21" s="124" t="str">
        <f t="shared" si="9"/>
        <v/>
      </c>
      <c r="R21" s="125"/>
      <c r="S21" s="125"/>
      <c r="T21" s="126" t="str">
        <f t="shared" si="10"/>
        <v/>
      </c>
      <c r="U21" s="125"/>
      <c r="V21" s="125"/>
      <c r="W21" s="125"/>
      <c r="X21" s="127" t="str">
        <f t="shared" si="11"/>
        <v/>
      </c>
      <c r="Y21" s="128" t="str">
        <f t="shared" si="12"/>
        <v/>
      </c>
      <c r="Z21" s="129" t="str">
        <f t="shared" si="13"/>
        <v/>
      </c>
      <c r="AA21" s="128" t="str">
        <f>IFERROR(IF(AB21="","",IF(AB21&lt;=0.2,"Leve",IF(AB21&lt;=0.4,"Menor",IF(AB21&lt;=0.6,"Moderado",IF(AB21&lt;=0.8,"Mayor","Catastrófico"))))),"")</f>
        <v/>
      </c>
      <c r="AB21" s="129" t="str">
        <f t="shared" si="15"/>
        <v/>
      </c>
      <c r="AC21" s="13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1"/>
      <c r="AE21" s="132"/>
      <c r="AF21" s="132"/>
      <c r="AG21" s="133"/>
      <c r="AH21" s="134"/>
      <c r="AI21" s="134"/>
      <c r="AJ21" s="175"/>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216.75" customHeight="1" x14ac:dyDescent="0.3">
      <c r="A22" s="238">
        <v>3</v>
      </c>
      <c r="B22" s="241" t="s">
        <v>133</v>
      </c>
      <c r="C22" s="241" t="s">
        <v>216</v>
      </c>
      <c r="D22" s="247" t="s">
        <v>225</v>
      </c>
      <c r="E22" s="247" t="s">
        <v>222</v>
      </c>
      <c r="F22" s="241" t="s">
        <v>122</v>
      </c>
      <c r="G22" s="262">
        <v>200</v>
      </c>
      <c r="H22" s="265" t="str">
        <f>IF(G22&lt;=0,"",IF(G22&lt;=2,"Muy Baja",IF(G22&lt;=24,"Baja",IF(G22&lt;=500,"Media",IF(G22&lt;=5000,"Alta","Muy Alta")))))</f>
        <v>Media</v>
      </c>
      <c r="I22" s="259">
        <f>IF(H22="","",IF(H22="Muy Baja",0.2,IF(H22="Baja",0.4,IF(H22="Media",0.6,IF(H22="Alta",0.8,IF(H22="Muy Alta",1,))))))</f>
        <v>0.6</v>
      </c>
      <c r="J22" s="256" t="s">
        <v>153</v>
      </c>
      <c r="K22" s="259"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65" t="str">
        <f>IF(OR(K22='Tabla Impacto'!$C$11,K22='Tabla Impacto'!$D$11),"Leve",IF(OR(K22='Tabla Impacto'!$C$12,K22='Tabla Impacto'!$D$12),"Menor",IF(OR(K22='Tabla Impacto'!$C$13,K22='Tabla Impacto'!$D$13),"Moderado",IF(OR(K22='Tabla Impacto'!$C$14,K22='Tabla Impacto'!$D$14),"Mayor",IF(OR(K22='Tabla Impacto'!$C$15,K22='Tabla Impacto'!$D$15),"Catastrófico","")))))</f>
        <v>Moderado</v>
      </c>
      <c r="M22" s="259">
        <f>IF(L22="","",IF(L22="Leve",0.2,IF(L22="Menor",0.4,IF(L22="Moderado",0.6,IF(L22="Mayor",0.8,IF(L22="Catastrófico",1,))))))</f>
        <v>0.6</v>
      </c>
      <c r="N22" s="26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67" t="s">
        <v>226</v>
      </c>
      <c r="Q22" s="139" t="str">
        <f>IF(OR(R22="Preventivo",R22="Detectivo"),"Probabilidad",IF(R22="Correctivo","Impacto",""))</f>
        <v>Probabilidad</v>
      </c>
      <c r="R22" s="140" t="s">
        <v>15</v>
      </c>
      <c r="S22" s="140" t="s">
        <v>9</v>
      </c>
      <c r="T22" s="141" t="str">
        <f>IF(AND(R22="Preventivo",S22="Automático"),"50%",IF(AND(R22="Preventivo",S22="Manual"),"40%",IF(AND(R22="Detectivo",S22="Automático"),"40%",IF(AND(R22="Detectivo",S22="Manual"),"30%",IF(AND(R22="Correctivo",S22="Automático"),"35%",IF(AND(R22="Correctivo",S22="Manual"),"25%",""))))))</f>
        <v>30%</v>
      </c>
      <c r="U22" s="140" t="s">
        <v>20</v>
      </c>
      <c r="V22" s="140" t="s">
        <v>22</v>
      </c>
      <c r="W22" s="140" t="s">
        <v>118</v>
      </c>
      <c r="X22" s="142">
        <f>IFERROR(IF(Q22="Probabilidad",(I22-(+I22*T22)),IF(Q22="Impacto",I22,"")),"")</f>
        <v>0.42</v>
      </c>
      <c r="Y22" s="143" t="str">
        <f>IFERROR(IF(X22="","",IF(X22&lt;=0.2,"Muy Baja",IF(X22&lt;=0.4,"Baja",IF(X22&lt;=0.6,"Media",IF(X22&lt;=0.8,"Alta","Muy Alta"))))),"")</f>
        <v>Media</v>
      </c>
      <c r="Z22" s="144">
        <f>+X22</f>
        <v>0.42</v>
      </c>
      <c r="AA22" s="143" t="str">
        <f>IFERROR(IF(AB22="","",IF(AB22&lt;=0.2,"Leve",IF(AB22&lt;=0.4,"Menor",IF(AB22&lt;=0.6,"Moderado",IF(AB22&lt;=0.8,"Mayor","Catastrófico"))))),"")</f>
        <v>Moderado</v>
      </c>
      <c r="AB22" s="144">
        <f>IFERROR(IF(Q22="Impacto",(M22-(+M22*T22)),IF(Q22="Probabilidad",M22,"")),"")</f>
        <v>0.6</v>
      </c>
      <c r="AC22" s="145"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46" t="s">
        <v>135</v>
      </c>
      <c r="AE22" s="147" t="s">
        <v>242</v>
      </c>
      <c r="AF22" s="147" t="s">
        <v>213</v>
      </c>
      <c r="AG22" s="168" t="s">
        <v>240</v>
      </c>
      <c r="AH22" s="148">
        <v>45292</v>
      </c>
      <c r="AI22" s="148">
        <v>45657</v>
      </c>
      <c r="AJ22" s="174"/>
      <c r="AK22" s="133"/>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3">
      <c r="A23" s="239"/>
      <c r="B23" s="242"/>
      <c r="C23" s="242"/>
      <c r="D23" s="248"/>
      <c r="E23" s="248"/>
      <c r="F23" s="242"/>
      <c r="G23" s="263"/>
      <c r="H23" s="266"/>
      <c r="I23" s="260"/>
      <c r="J23" s="257"/>
      <c r="K23" s="260">
        <f>IF(NOT(ISERROR(MATCH(J23,_xlfn.ANCHORARRAY(E34),0))),#REF!&amp;"Por favor no seleccionar los criterios de impacto",J23)</f>
        <v>0</v>
      </c>
      <c r="L23" s="266"/>
      <c r="M23" s="260"/>
      <c r="N23" s="269"/>
      <c r="O23" s="6">
        <v>2</v>
      </c>
      <c r="P23" s="164"/>
      <c r="Q23" s="139"/>
      <c r="R23" s="140"/>
      <c r="S23" s="140"/>
      <c r="T23" s="141"/>
      <c r="U23" s="140"/>
      <c r="V23" s="140"/>
      <c r="W23" s="140"/>
      <c r="X23" s="152"/>
      <c r="Y23" s="143"/>
      <c r="Z23" s="144"/>
      <c r="AA23" s="143"/>
      <c r="AB23" s="144"/>
      <c r="AC23" s="145"/>
      <c r="AD23" s="146"/>
      <c r="AE23" s="147"/>
      <c r="AF23" s="147"/>
      <c r="AG23" s="168"/>
      <c r="AH23" s="148"/>
      <c r="AI23" s="148"/>
      <c r="AJ23" s="175"/>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3">
      <c r="A24" s="239"/>
      <c r="B24" s="242"/>
      <c r="C24" s="242"/>
      <c r="D24" s="248"/>
      <c r="E24" s="248"/>
      <c r="F24" s="242"/>
      <c r="G24" s="263"/>
      <c r="H24" s="266"/>
      <c r="I24" s="260"/>
      <c r="J24" s="257"/>
      <c r="K24" s="260">
        <f>IF(NOT(ISERROR(MATCH(J24,_xlfn.ANCHORARRAY(#REF!),0))),#REF!&amp;"Por favor no seleccionar los criterios de impacto",J24)</f>
        <v>0</v>
      </c>
      <c r="L24" s="266"/>
      <c r="M24" s="260"/>
      <c r="N24" s="269"/>
      <c r="O24" s="6">
        <v>3</v>
      </c>
      <c r="P24" s="151"/>
      <c r="Q24" s="124" t="str">
        <f>IF(OR(R24="Preventivo",R24="Detectivo"),"Probabilidad",IF(R24="Correctivo","Impacto",""))</f>
        <v/>
      </c>
      <c r="R24" s="125"/>
      <c r="S24" s="125"/>
      <c r="T24" s="126" t="str">
        <f t="shared" ref="T24:T27" si="17">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8">+X24</f>
        <v/>
      </c>
      <c r="AA24" s="128" t="str">
        <f t="shared" si="3"/>
        <v/>
      </c>
      <c r="AB24" s="129" t="str">
        <f>IFERROR(IF(AND(Q23="Impacto",Q24="Impacto"),(AB23-(+AB23*T24)),IF(AND(Q23="Probabilidad",Q24="Impacto"),(AB22-(+AB22*T24)),IF(Q24="Probabilidad",AB23,""))),"")</f>
        <v/>
      </c>
      <c r="AC24" s="130" t="str">
        <f t="shared" ref="AC24" si="19">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47"/>
      <c r="AF24" s="147"/>
      <c r="AG24" s="168"/>
      <c r="AH24" s="134"/>
      <c r="AI24" s="134"/>
      <c r="AJ24" s="175"/>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39"/>
      <c r="B25" s="242"/>
      <c r="C25" s="242"/>
      <c r="D25" s="248"/>
      <c r="E25" s="248"/>
      <c r="F25" s="242"/>
      <c r="G25" s="263"/>
      <c r="H25" s="266"/>
      <c r="I25" s="260"/>
      <c r="J25" s="257"/>
      <c r="K25" s="260">
        <f>IF(NOT(ISERROR(MATCH(J25,_xlfn.ANCHORARRAY(#REF!),0))),I35&amp;"Por favor no seleccionar los criterios de impacto",J25)</f>
        <v>0</v>
      </c>
      <c r="L25" s="266"/>
      <c r="M25" s="260"/>
      <c r="N25" s="269"/>
      <c r="O25" s="6">
        <v>4</v>
      </c>
      <c r="P25" s="138"/>
      <c r="Q25" s="124" t="str">
        <f t="shared" ref="Q25:Q27" si="20">IF(OR(R25="Preventivo",R25="Detectivo"),"Probabilidad",IF(R25="Correctivo","Impacto",""))</f>
        <v/>
      </c>
      <c r="R25" s="125"/>
      <c r="S25" s="125"/>
      <c r="T25" s="126" t="str">
        <f t="shared" si="17"/>
        <v/>
      </c>
      <c r="U25" s="125"/>
      <c r="V25" s="125"/>
      <c r="W25" s="125"/>
      <c r="X25" s="127" t="str">
        <f t="shared" ref="X25:X27" si="21">IFERROR(IF(AND(Q24="Probabilidad",Q25="Probabilidad"),(Z24-(+Z24*T25)),IF(AND(Q24="Impacto",Q25="Probabilidad"),(Z23-(+Z23*T25)),IF(Q25="Impacto",Z24,""))),"")</f>
        <v/>
      </c>
      <c r="Y25" s="128" t="str">
        <f t="shared" si="1"/>
        <v/>
      </c>
      <c r="Z25" s="129" t="str">
        <f t="shared" si="18"/>
        <v/>
      </c>
      <c r="AA25" s="128" t="str">
        <f t="shared" si="3"/>
        <v/>
      </c>
      <c r="AB25" s="129" t="str">
        <f t="shared" ref="AB25:AB27" si="22">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47"/>
      <c r="AF25" s="147"/>
      <c r="AG25" s="168"/>
      <c r="AH25" s="134"/>
      <c r="AI25" s="134"/>
      <c r="AJ25" s="175"/>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39"/>
      <c r="B26" s="242"/>
      <c r="C26" s="242"/>
      <c r="D26" s="248"/>
      <c r="E26" s="248"/>
      <c r="F26" s="242"/>
      <c r="G26" s="263"/>
      <c r="H26" s="266"/>
      <c r="I26" s="260"/>
      <c r="J26" s="257"/>
      <c r="K26" s="260">
        <f>IF(NOT(ISERROR(MATCH(J26,_xlfn.ANCHORARRAY(#REF!),0))),I36&amp;"Por favor no seleccionar los criterios de impacto",J26)</f>
        <v>0</v>
      </c>
      <c r="L26" s="266"/>
      <c r="M26" s="260"/>
      <c r="N26" s="269"/>
      <c r="O26" s="6">
        <v>5</v>
      </c>
      <c r="P26" s="138"/>
      <c r="Q26" s="124" t="str">
        <f t="shared" si="20"/>
        <v/>
      </c>
      <c r="R26" s="125"/>
      <c r="S26" s="125"/>
      <c r="T26" s="126" t="str">
        <f t="shared" si="17"/>
        <v/>
      </c>
      <c r="U26" s="125"/>
      <c r="V26" s="125"/>
      <c r="W26" s="125"/>
      <c r="X26" s="127" t="str">
        <f t="shared" si="21"/>
        <v/>
      </c>
      <c r="Y26" s="128" t="str">
        <f t="shared" si="1"/>
        <v/>
      </c>
      <c r="Z26" s="129" t="str">
        <f t="shared" si="18"/>
        <v/>
      </c>
      <c r="AA26" s="128" t="str">
        <f t="shared" si="3"/>
        <v/>
      </c>
      <c r="AB26" s="129" t="str">
        <f t="shared" si="22"/>
        <v/>
      </c>
      <c r="AC26" s="130" t="str">
        <f t="shared" ref="AC26:AC27" si="23">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47"/>
      <c r="AF26" s="147"/>
      <c r="AG26" s="168"/>
      <c r="AH26" s="134"/>
      <c r="AI26" s="134"/>
      <c r="AJ26" s="175"/>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40"/>
      <c r="B27" s="243"/>
      <c r="C27" s="243"/>
      <c r="D27" s="249"/>
      <c r="E27" s="249"/>
      <c r="F27" s="243"/>
      <c r="G27" s="264"/>
      <c r="H27" s="267"/>
      <c r="I27" s="261"/>
      <c r="J27" s="258"/>
      <c r="K27" s="261">
        <f>IF(NOT(ISERROR(MATCH(J27,_xlfn.ANCHORARRAY(E35),0))),I37&amp;"Por favor no seleccionar los criterios de impacto",J27)</f>
        <v>0</v>
      </c>
      <c r="L27" s="267"/>
      <c r="M27" s="261"/>
      <c r="N27" s="270"/>
      <c r="O27" s="6">
        <v>6</v>
      </c>
      <c r="P27" s="138"/>
      <c r="Q27" s="124" t="str">
        <f t="shared" si="20"/>
        <v/>
      </c>
      <c r="R27" s="125"/>
      <c r="S27" s="125"/>
      <c r="T27" s="126" t="str">
        <f t="shared" si="17"/>
        <v/>
      </c>
      <c r="U27" s="125"/>
      <c r="V27" s="125"/>
      <c r="W27" s="125"/>
      <c r="X27" s="127" t="str">
        <f t="shared" si="21"/>
        <v/>
      </c>
      <c r="Y27" s="128" t="str">
        <f t="shared" si="1"/>
        <v/>
      </c>
      <c r="Z27" s="129" t="str">
        <f t="shared" si="18"/>
        <v/>
      </c>
      <c r="AA27" s="128" t="str">
        <f t="shared" si="3"/>
        <v/>
      </c>
      <c r="AB27" s="129" t="str">
        <f t="shared" si="22"/>
        <v/>
      </c>
      <c r="AC27" s="130" t="str">
        <f t="shared" si="23"/>
        <v/>
      </c>
      <c r="AD27" s="131"/>
      <c r="AE27" s="147"/>
      <c r="AF27" s="147"/>
      <c r="AG27" s="168"/>
      <c r="AH27" s="134"/>
      <c r="AI27" s="134"/>
      <c r="AJ27" s="175"/>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47" customHeight="1" x14ac:dyDescent="0.3">
      <c r="A28" s="238">
        <v>4</v>
      </c>
      <c r="B28" s="241" t="s">
        <v>133</v>
      </c>
      <c r="C28" s="247" t="s">
        <v>227</v>
      </c>
      <c r="D28" s="247" t="s">
        <v>228</v>
      </c>
      <c r="E28" s="247" t="s">
        <v>233</v>
      </c>
      <c r="F28" s="241" t="s">
        <v>122</v>
      </c>
      <c r="G28" s="262">
        <v>1700</v>
      </c>
      <c r="H28" s="253" t="str">
        <f>IF(G28&lt;=0,"",IF(G28&lt;=2,"Muy Baja",IF(G28&lt;=24,"Baja",IF(G28&lt;=500,"Media",IF(G28&lt;=5000,"Alta","Muy Alta")))))</f>
        <v>Alta</v>
      </c>
      <c r="I28" s="259">
        <f>IF(H28="","",IF(H28="Muy Baja",0.2,IF(H28="Baja",0.4,IF(H28="Media",0.6,IF(H28="Alta",0.8,IF(H28="Muy Alta",1,))))))</f>
        <v>0.8</v>
      </c>
      <c r="J28" s="256" t="s">
        <v>152</v>
      </c>
      <c r="K28" s="259"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65" t="str">
        <f>IF(OR(K28='Tabla Impacto'!$C$11,K28='Tabla Impacto'!$D$11),"Leve",IF(OR(K28='Tabla Impacto'!$C$12,K28='Tabla Impacto'!$D$12),"Menor",IF(OR(K28='Tabla Impacto'!$C$13,K28='Tabla Impacto'!$D$13),"Moderado",IF(OR(K28='Tabla Impacto'!$C$14,K28='Tabla Impacto'!$D$14),"Mayor",IF(OR(K28='Tabla Impacto'!$C$15,K28='Tabla Impacto'!$D$15),"Catastrófico","")))))</f>
        <v>Menor</v>
      </c>
      <c r="M28" s="259">
        <f>IF(L28="","",IF(L28="Leve",0.2,IF(L28="Menor",0.4,IF(L28="Moderado",0.6,IF(L28="Mayor",0.8,IF(L28="Catastrófico",1,))))))</f>
        <v>0.4</v>
      </c>
      <c r="N28" s="26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169" t="s">
        <v>243</v>
      </c>
      <c r="Q28" s="139" t="str">
        <f>IF(OR(R28="Preventivo",R28="Detectivo"),"Probabilidad",IF(R28="Correctivo","Impacto",""))</f>
        <v>Probabilidad</v>
      </c>
      <c r="R28" s="140" t="s">
        <v>14</v>
      </c>
      <c r="S28" s="140" t="s">
        <v>10</v>
      </c>
      <c r="T28" s="141" t="str">
        <f>IF(AND(R28="Preventivo",S28="Automático"),"50%",IF(AND(R28="Preventivo",S28="Manual"),"40%",IF(AND(R28="Detectivo",S28="Automático"),"40%",IF(AND(R28="Detectivo",S28="Manual"),"30%",IF(AND(R28="Correctivo",S28="Automático"),"35%",IF(AND(R28="Correctivo",S28="Manual"),"25%",""))))))</f>
        <v>50%</v>
      </c>
      <c r="U28" s="140" t="s">
        <v>19</v>
      </c>
      <c r="V28" s="140" t="s">
        <v>22</v>
      </c>
      <c r="W28" s="140" t="s">
        <v>118</v>
      </c>
      <c r="X28" s="142">
        <f>IFERROR(IF(Q28="Probabilidad",(I28-(+I28*T28)),IF(Q28="Impacto",I28,"")),"")</f>
        <v>0.4</v>
      </c>
      <c r="Y28" s="143" t="str">
        <f>IFERROR(IF(X28="","",IF(X28&lt;=0.2,"Muy Baja",IF(X28&lt;=0.4,"Baja",IF(X28&lt;=0.6,"Media",IF(X28&lt;=0.8,"Alta","Muy Alta"))))),"")</f>
        <v>Baja</v>
      </c>
      <c r="Z28" s="144">
        <f>+X28</f>
        <v>0.4</v>
      </c>
      <c r="AA28" s="143" t="str">
        <f>IFERROR(IF(AB28="","",IF(AB28&lt;=0.2,"Leve",IF(AB28&lt;=0.4,"Menor",IF(AB28&lt;=0.6,"Moderado",IF(AB28&lt;=0.8,"Mayor","Catastrófico"))))),"")</f>
        <v>Menor</v>
      </c>
      <c r="AB28" s="144">
        <f>IFERROR(IF(Q28="Impacto",(M28-(+M28*T28)),IF(Q28="Probabilidad",M28,"")),"")</f>
        <v>0.4</v>
      </c>
      <c r="AC28" s="145"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46"/>
      <c r="AE28" s="168" t="s">
        <v>244</v>
      </c>
      <c r="AF28" s="168" t="s">
        <v>213</v>
      </c>
      <c r="AG28" s="168" t="s">
        <v>240</v>
      </c>
      <c r="AH28" s="148">
        <v>45292</v>
      </c>
      <c r="AI28" s="148">
        <v>45657</v>
      </c>
      <c r="AJ28" s="172"/>
      <c r="AK28" s="133"/>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3">
      <c r="A29" s="239"/>
      <c r="B29" s="242"/>
      <c r="C29" s="248"/>
      <c r="D29" s="248"/>
      <c r="E29" s="248"/>
      <c r="F29" s="242"/>
      <c r="G29" s="263"/>
      <c r="H29" s="254"/>
      <c r="I29" s="260"/>
      <c r="J29" s="257"/>
      <c r="K29" s="260">
        <f>IF(NOT(ISERROR(MATCH(J29,_xlfn.ANCHORARRAY(E37),0))),I39&amp;"Por favor no seleccionar los criterios de impacto",J29)</f>
        <v>0</v>
      </c>
      <c r="L29" s="266"/>
      <c r="M29" s="260"/>
      <c r="N29" s="269"/>
      <c r="O29" s="6">
        <v>2</v>
      </c>
      <c r="P29" s="150"/>
      <c r="Q29" s="139"/>
      <c r="R29" s="140"/>
      <c r="S29" s="140"/>
      <c r="T29" s="141"/>
      <c r="U29" s="140"/>
      <c r="V29" s="140"/>
      <c r="W29" s="140"/>
      <c r="X29" s="142"/>
      <c r="Y29" s="143"/>
      <c r="Z29" s="144"/>
      <c r="AA29" s="143"/>
      <c r="AB29" s="144"/>
      <c r="AC29" s="145"/>
      <c r="AD29" s="146"/>
      <c r="AE29" s="147"/>
      <c r="AF29" s="147"/>
      <c r="AG29" s="168"/>
      <c r="AH29" s="148"/>
      <c r="AI29" s="153"/>
      <c r="AJ29" s="175"/>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239"/>
      <c r="B30" s="242"/>
      <c r="C30" s="248"/>
      <c r="D30" s="248"/>
      <c r="E30" s="248"/>
      <c r="F30" s="242"/>
      <c r="G30" s="263"/>
      <c r="H30" s="254"/>
      <c r="I30" s="260"/>
      <c r="J30" s="257"/>
      <c r="K30" s="260">
        <f>IF(NOT(ISERROR(MATCH(J30,_xlfn.ANCHORARRAY(E38),0))),I40&amp;"Por favor no seleccionar los criterios de impacto",J30)</f>
        <v>0</v>
      </c>
      <c r="L30" s="266"/>
      <c r="M30" s="260"/>
      <c r="N30" s="269"/>
      <c r="O30" s="6">
        <v>3</v>
      </c>
      <c r="P30" s="149"/>
      <c r="Q30" s="139"/>
      <c r="R30" s="140"/>
      <c r="S30" s="140"/>
      <c r="T30" s="141"/>
      <c r="U30" s="140"/>
      <c r="V30" s="140"/>
      <c r="W30" s="140"/>
      <c r="X30" s="142"/>
      <c r="Y30" s="143"/>
      <c r="Z30" s="144"/>
      <c r="AA30" s="143"/>
      <c r="AB30" s="144"/>
      <c r="AC30" s="145"/>
      <c r="AD30" s="146"/>
      <c r="AE30" s="147"/>
      <c r="AF30" s="147"/>
      <c r="AG30" s="168"/>
      <c r="AH30" s="148"/>
      <c r="AI30" s="153"/>
      <c r="AJ30" s="175"/>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39"/>
      <c r="B31" s="242"/>
      <c r="C31" s="248"/>
      <c r="D31" s="248"/>
      <c r="E31" s="248"/>
      <c r="F31" s="242"/>
      <c r="G31" s="263"/>
      <c r="H31" s="254"/>
      <c r="I31" s="260"/>
      <c r="J31" s="257"/>
      <c r="K31" s="260">
        <f>IF(NOT(ISERROR(MATCH(J31,_xlfn.ANCHORARRAY(E39),0))),I41&amp;"Por favor no seleccionar los criterios de impacto",J31)</f>
        <v>0</v>
      </c>
      <c r="L31" s="266"/>
      <c r="M31" s="260"/>
      <c r="N31" s="269"/>
      <c r="O31" s="6">
        <v>4</v>
      </c>
      <c r="P31" s="123"/>
      <c r="Q31" s="124" t="str">
        <f t="shared" ref="Q31:Q33" si="24">IF(OR(R31="Preventivo",R31="Detectivo"),"Probabilidad",IF(R31="Correctivo","Impacto",""))</f>
        <v/>
      </c>
      <c r="R31" s="125"/>
      <c r="S31" s="125"/>
      <c r="T31" s="126" t="str">
        <f t="shared" ref="T31:T33" si="25">IF(AND(R31="Preventivo",S31="Automático"),"50%",IF(AND(R31="Preventivo",S31="Manual"),"40%",IF(AND(R31="Detectivo",S31="Automático"),"40%",IF(AND(R31="Detectivo",S31="Manual"),"30%",IF(AND(R31="Correctivo",S31="Automático"),"35%",IF(AND(R31="Correctivo",S31="Manual"),"25%",""))))))</f>
        <v/>
      </c>
      <c r="U31" s="125"/>
      <c r="V31" s="125"/>
      <c r="W31" s="125"/>
      <c r="X31" s="127" t="str">
        <f t="shared" ref="X31:X33" si="26">IFERROR(IF(AND(Q30="Probabilidad",Q31="Probabilidad"),(Z30-(+Z30*T31)),IF(AND(Q30="Impacto",Q31="Probabilidad"),(Z29-(+Z29*T31)),IF(Q31="Impacto",Z30,""))),"")</f>
        <v/>
      </c>
      <c r="Y31" s="128" t="str">
        <f t="shared" si="1"/>
        <v/>
      </c>
      <c r="Z31" s="129" t="str">
        <f t="shared" ref="Z31:Z33" si="27">+X31</f>
        <v/>
      </c>
      <c r="AA31" s="128" t="str">
        <f t="shared" si="3"/>
        <v/>
      </c>
      <c r="AB31" s="129" t="str">
        <f t="shared" ref="AB31:AB33" si="28">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47"/>
      <c r="AF31" s="147"/>
      <c r="AG31" s="168"/>
      <c r="AH31" s="134"/>
      <c r="AI31" s="134"/>
      <c r="AJ31" s="175"/>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39"/>
      <c r="B32" s="242"/>
      <c r="C32" s="248"/>
      <c r="D32" s="248"/>
      <c r="E32" s="248"/>
      <c r="F32" s="242"/>
      <c r="G32" s="263"/>
      <c r="H32" s="254"/>
      <c r="I32" s="260"/>
      <c r="J32" s="257"/>
      <c r="K32" s="260">
        <f>IF(NOT(ISERROR(MATCH(J32,_xlfn.ANCHORARRAY(E40),0))),I42&amp;"Por favor no seleccionar los criterios de impacto",J32)</f>
        <v>0</v>
      </c>
      <c r="L32" s="266"/>
      <c r="M32" s="260"/>
      <c r="N32" s="269"/>
      <c r="O32" s="6">
        <v>5</v>
      </c>
      <c r="P32" s="123"/>
      <c r="Q32" s="124" t="str">
        <f t="shared" si="24"/>
        <v/>
      </c>
      <c r="R32" s="125"/>
      <c r="S32" s="125"/>
      <c r="T32" s="126" t="str">
        <f t="shared" si="25"/>
        <v/>
      </c>
      <c r="U32" s="125"/>
      <c r="V32" s="125"/>
      <c r="W32" s="125"/>
      <c r="X32" s="136"/>
      <c r="Y32" s="128"/>
      <c r="Z32" s="129"/>
      <c r="AA32" s="128"/>
      <c r="AB32" s="129"/>
      <c r="AC32" s="130"/>
      <c r="AD32" s="131"/>
      <c r="AE32" s="147"/>
      <c r="AF32" s="147"/>
      <c r="AG32" s="168"/>
      <c r="AH32" s="134"/>
      <c r="AI32" s="134"/>
      <c r="AJ32" s="175"/>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240"/>
      <c r="B33" s="243"/>
      <c r="C33" s="249"/>
      <c r="D33" s="249"/>
      <c r="E33" s="249"/>
      <c r="F33" s="243"/>
      <c r="G33" s="264"/>
      <c r="H33" s="255"/>
      <c r="I33" s="261"/>
      <c r="J33" s="258"/>
      <c r="K33" s="261">
        <f>IF(NOT(ISERROR(MATCH(J33,_xlfn.ANCHORARRAY(E41),0))),I43&amp;"Por favor no seleccionar los criterios de impacto",J33)</f>
        <v>0</v>
      </c>
      <c r="L33" s="267"/>
      <c r="M33" s="261"/>
      <c r="N33" s="270"/>
      <c r="O33" s="6">
        <v>6</v>
      </c>
      <c r="P33" s="123"/>
      <c r="Q33" s="124" t="str">
        <f t="shared" si="24"/>
        <v/>
      </c>
      <c r="R33" s="125"/>
      <c r="S33" s="125"/>
      <c r="T33" s="126" t="str">
        <f t="shared" si="25"/>
        <v/>
      </c>
      <c r="U33" s="125"/>
      <c r="V33" s="125"/>
      <c r="W33" s="125"/>
      <c r="X33" s="127" t="str">
        <f t="shared" si="26"/>
        <v/>
      </c>
      <c r="Y33" s="128" t="str">
        <f t="shared" si="1"/>
        <v/>
      </c>
      <c r="Z33" s="129" t="str">
        <f t="shared" si="27"/>
        <v/>
      </c>
      <c r="AA33" s="128" t="str">
        <f t="shared" si="3"/>
        <v/>
      </c>
      <c r="AB33" s="129" t="str">
        <f t="shared" si="28"/>
        <v/>
      </c>
      <c r="AC33" s="130" t="str">
        <f t="shared" ref="AC33"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1"/>
      <c r="AE33" s="147"/>
      <c r="AF33" s="147"/>
      <c r="AG33" s="168"/>
      <c r="AH33" s="134"/>
      <c r="AI33" s="134"/>
      <c r="AJ33" s="175"/>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customHeight="1" x14ac:dyDescent="0.3">
      <c r="A34" s="238">
        <v>5</v>
      </c>
      <c r="B34" s="241" t="s">
        <v>133</v>
      </c>
      <c r="C34" s="241" t="s">
        <v>217</v>
      </c>
      <c r="D34" s="247" t="s">
        <v>229</v>
      </c>
      <c r="E34" s="247" t="s">
        <v>234</v>
      </c>
      <c r="F34" s="241" t="s">
        <v>122</v>
      </c>
      <c r="G34" s="262">
        <v>501</v>
      </c>
      <c r="H34" s="265" t="str">
        <f>IF(G34&lt;=0,"",IF(G34&lt;=2,"Muy Baja",IF(G34&lt;=24,"Baja",IF(G34&lt;=500,"Media",IF(G34&lt;=5000,"Alta","Muy Alta")))))</f>
        <v>Alta</v>
      </c>
      <c r="I34" s="259">
        <f>IF(H34="","",IF(H34="Muy Baja",0.2,IF(H34="Baja",0.4,IF(H34="Media",0.6,IF(H34="Alta",0.8,IF(H34="Muy Alta",1,))))))</f>
        <v>0.8</v>
      </c>
      <c r="J34" s="256" t="s">
        <v>152</v>
      </c>
      <c r="K34" s="259" t="str">
        <f>IF(NOT(ISERROR(MATCH(J34,'Tabla Impacto'!$B$221:$B$223,0))),'Tabla Impacto'!$F$223&amp;"Por favor no seleccionar los criterios de impacto(Afectación Económica o presupuestal y Pérdida Reputacional)",J34)</f>
        <v xml:space="preserve">     El riesgo afecta la imagen de la entidad internamente, de conocimiento general, nivel interno, de junta dircetiva y accionistas y/o de provedores</v>
      </c>
      <c r="L34" s="265" t="str">
        <f>IF(OR(K34='Tabla Impacto'!$C$11,K34='Tabla Impacto'!$D$11),"Leve",IF(OR(K34='Tabla Impacto'!$C$12,K34='Tabla Impacto'!$D$12),"Menor",IF(OR(K34='Tabla Impacto'!$C$13,K34='Tabla Impacto'!$D$13),"Moderado",IF(OR(K34='Tabla Impacto'!$C$14,K34='Tabla Impacto'!$D$14),"Mayor",IF(OR(K34='Tabla Impacto'!$C$15,K34='Tabla Impacto'!$D$15),"Catastrófico","")))))</f>
        <v>Menor</v>
      </c>
      <c r="M34" s="259">
        <f>IF(L34="","",IF(L34="Leve",0.2,IF(L34="Menor",0.4,IF(L34="Moderado",0.6,IF(L34="Mayor",0.8,IF(L34="Catastrófico",1,))))))</f>
        <v>0.4</v>
      </c>
      <c r="N34" s="26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154" t="s">
        <v>219</v>
      </c>
      <c r="Q34" s="139" t="str">
        <f>IF(OR(R34="Preventivo",R34="Detectivo"),"Probabilidad",IF(R34="Correctivo","Impacto",""))</f>
        <v>Probabilidad</v>
      </c>
      <c r="R34" s="140" t="s">
        <v>14</v>
      </c>
      <c r="S34" s="140" t="s">
        <v>10</v>
      </c>
      <c r="T34" s="141" t="str">
        <f>IF(AND(R34="Preventivo",S34="Automático"),"50%",IF(AND(R34="Preventivo",S34="Manual"),"40%",IF(AND(R34="Detectivo",S34="Automático"),"40%",IF(AND(R34="Detectivo",S34="Manual"),"30%",IF(AND(R34="Correctivo",S34="Automático"),"35%",IF(AND(R34="Correctivo",S34="Manual"),"25%",""))))))</f>
        <v>50%</v>
      </c>
      <c r="U34" s="140" t="s">
        <v>19</v>
      </c>
      <c r="V34" s="140" t="s">
        <v>22</v>
      </c>
      <c r="W34" s="140" t="s">
        <v>118</v>
      </c>
      <c r="X34" s="142">
        <f>IFERROR(IF(Q34="Probabilidad",(I34-(+I34*T34)),IF(Q34="Impacto",I34,"")),"")</f>
        <v>0.4</v>
      </c>
      <c r="Y34" s="143" t="str">
        <f>IFERROR(IF(X34="","",IF(X34&lt;=0.2,"Muy Baja",IF(X34&lt;=0.4,"Baja",IF(X34&lt;=0.6,"Media",IF(X34&lt;=0.8,"Alta","Muy Alta"))))),"")</f>
        <v>Baja</v>
      </c>
      <c r="Z34" s="144">
        <f>+X34</f>
        <v>0.4</v>
      </c>
      <c r="AA34" s="143" t="str">
        <f>IFERROR(IF(AB34="","",IF(AB34&lt;=0.2,"Leve",IF(AB34&lt;=0.4,"Menor",IF(AB34&lt;=0.6,"Moderado",IF(AB34&lt;=0.8,"Mayor","Catastrófico"))))),"")</f>
        <v>Menor</v>
      </c>
      <c r="AB34" s="144">
        <f>IFERROR(IF(Q34="Impacto",(M34-(+M34*T34)),IF(Q34="Probabilidad",M34,"")),"")</f>
        <v>0.4</v>
      </c>
      <c r="AC34" s="145"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46"/>
      <c r="AE34" s="168" t="s">
        <v>245</v>
      </c>
      <c r="AF34" s="168" t="s">
        <v>213</v>
      </c>
      <c r="AG34" s="168" t="s">
        <v>240</v>
      </c>
      <c r="AH34" s="148">
        <v>45292</v>
      </c>
      <c r="AI34" s="148">
        <v>45657</v>
      </c>
      <c r="AJ34" s="173"/>
      <c r="AK34" s="13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39"/>
      <c r="B35" s="242"/>
      <c r="C35" s="242"/>
      <c r="D35" s="248"/>
      <c r="E35" s="248"/>
      <c r="F35" s="242"/>
      <c r="G35" s="263"/>
      <c r="H35" s="266"/>
      <c r="I35" s="260"/>
      <c r="J35" s="257"/>
      <c r="K35" s="260">
        <f t="shared" ref="K35:K36" si="30">IF(NOT(ISERROR(MATCH(J35,_xlfn.ANCHORARRAY(E46),0))),I48&amp;"Por favor no seleccionar los criterios de impacto",J35)</f>
        <v>0</v>
      </c>
      <c r="L35" s="266"/>
      <c r="M35" s="260"/>
      <c r="N35" s="269"/>
      <c r="O35" s="6">
        <v>5</v>
      </c>
      <c r="P35" s="123"/>
      <c r="Q35" s="124" t="str">
        <f t="shared" ref="Q35:Q36" si="31">IF(OR(R35="Preventivo",R35="Detectivo"),"Probabilidad",IF(R35="Correctivo","Impacto",""))</f>
        <v/>
      </c>
      <c r="R35" s="125"/>
      <c r="S35" s="125"/>
      <c r="T35" s="126" t="str">
        <f t="shared" ref="T35:T36" si="32">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33">+X35</f>
        <v/>
      </c>
      <c r="AA35" s="128" t="str">
        <f t="shared" si="3"/>
        <v/>
      </c>
      <c r="AB35" s="129" t="str">
        <f>IFERROR(IF(AND(#REF!="Impacto",Q35="Impacto"),(#REF!-(+#REF!*T35)),IF(AND(#REF!="Probabilidad",Q35="Impacto"),(#REF!-(+#REF!*T35)),IF(Q35="Probabilidad",#REF!,""))),"")</f>
        <v/>
      </c>
      <c r="AC35" s="130"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47"/>
      <c r="AF35" s="132"/>
      <c r="AG35" s="168"/>
      <c r="AH35" s="134"/>
      <c r="AI35" s="134"/>
      <c r="AJ35" s="175"/>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40"/>
      <c r="B36" s="243"/>
      <c r="C36" s="243"/>
      <c r="D36" s="249"/>
      <c r="E36" s="249"/>
      <c r="F36" s="243"/>
      <c r="G36" s="264"/>
      <c r="H36" s="267"/>
      <c r="I36" s="261"/>
      <c r="J36" s="258"/>
      <c r="K36" s="261">
        <f t="shared" si="30"/>
        <v>0</v>
      </c>
      <c r="L36" s="267"/>
      <c r="M36" s="261"/>
      <c r="N36" s="270"/>
      <c r="O36" s="6">
        <v>6</v>
      </c>
      <c r="P36" s="123"/>
      <c r="Q36" s="124" t="str">
        <f t="shared" si="31"/>
        <v/>
      </c>
      <c r="R36" s="125"/>
      <c r="S36" s="125"/>
      <c r="T36" s="126" t="str">
        <f t="shared" si="32"/>
        <v/>
      </c>
      <c r="U36" s="125"/>
      <c r="V36" s="125"/>
      <c r="W36" s="125"/>
      <c r="X36" s="127" t="str">
        <f>IFERROR(IF(AND(Q35="Probabilidad",Q36="Probabilidad"),(Z35-(+Z35*T36)),IF(AND(Q35="Impacto",Q36="Probabilidad"),(#REF!-(+#REF!*T36)),IF(Q36="Impacto",Z35,""))),"")</f>
        <v/>
      </c>
      <c r="Y36" s="128" t="str">
        <f t="shared" si="1"/>
        <v/>
      </c>
      <c r="Z36" s="129" t="str">
        <f t="shared" si="33"/>
        <v/>
      </c>
      <c r="AA36" s="128" t="str">
        <f t="shared" si="3"/>
        <v/>
      </c>
      <c r="AB36" s="129" t="str">
        <f>IFERROR(IF(AND(Q35="Impacto",Q36="Impacto"),(AB35-(+AB35*T36)),IF(AND(Q35="Probabilidad",Q36="Impacto"),(#REF!-(+#REF!*T36)),IF(Q36="Probabilidad",AB35,""))),"")</f>
        <v/>
      </c>
      <c r="AC36" s="130" t="str">
        <f t="shared" si="34"/>
        <v/>
      </c>
      <c r="AD36" s="131"/>
      <c r="AE36" s="147"/>
      <c r="AF36" s="132"/>
      <c r="AG36" s="168"/>
      <c r="AH36" s="134"/>
      <c r="AI36" s="134"/>
      <c r="AJ36" s="175"/>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8.25" customHeight="1" x14ac:dyDescent="0.3">
      <c r="A37" s="238">
        <v>6</v>
      </c>
      <c r="B37" s="241"/>
      <c r="C37" s="241"/>
      <c r="D37" s="247"/>
      <c r="E37" s="247"/>
      <c r="F37" s="241"/>
      <c r="G37" s="262"/>
      <c r="H37" s="265"/>
      <c r="I37" s="259"/>
      <c r="J37" s="256"/>
      <c r="K37" s="259"/>
      <c r="L37" s="265"/>
      <c r="M37" s="259"/>
      <c r="N37" s="268"/>
      <c r="O37" s="6"/>
      <c r="P37" s="150"/>
      <c r="Q37" s="139"/>
      <c r="R37" s="140"/>
      <c r="S37" s="140"/>
      <c r="T37" s="141"/>
      <c r="U37" s="140"/>
      <c r="V37" s="140"/>
      <c r="W37" s="140"/>
      <c r="X37" s="142"/>
      <c r="Y37" s="143"/>
      <c r="Z37" s="144"/>
      <c r="AA37" s="143"/>
      <c r="AB37" s="144"/>
      <c r="AC37" s="145"/>
      <c r="AD37" s="146"/>
      <c r="AE37" s="147"/>
      <c r="AF37" s="147"/>
      <c r="AG37" s="168"/>
      <c r="AH37" s="148"/>
      <c r="AI37" s="148"/>
      <c r="AJ37" s="172"/>
      <c r="AK37" s="170"/>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3">
      <c r="A38" s="239"/>
      <c r="B38" s="242"/>
      <c r="C38" s="242"/>
      <c r="D38" s="248"/>
      <c r="E38" s="248"/>
      <c r="F38" s="242"/>
      <c r="G38" s="263"/>
      <c r="H38" s="266"/>
      <c r="I38" s="260"/>
      <c r="J38" s="257"/>
      <c r="K38" s="260"/>
      <c r="L38" s="266"/>
      <c r="M38" s="260"/>
      <c r="N38" s="269"/>
      <c r="O38" s="6"/>
      <c r="P38" s="150"/>
      <c r="Q38" s="139"/>
      <c r="R38" s="140"/>
      <c r="S38" s="140"/>
      <c r="T38" s="141"/>
      <c r="U38" s="140"/>
      <c r="V38" s="140"/>
      <c r="W38" s="140"/>
      <c r="X38" s="142"/>
      <c r="Y38" s="143"/>
      <c r="Z38" s="144"/>
      <c r="AA38" s="143"/>
      <c r="AB38" s="144"/>
      <c r="AC38" s="145"/>
      <c r="AD38" s="146"/>
      <c r="AE38" s="147"/>
      <c r="AF38" s="147"/>
      <c r="AG38" s="147"/>
      <c r="AH38" s="148"/>
      <c r="AI38" s="148"/>
      <c r="AJ38" s="147"/>
      <c r="AK38" s="149"/>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3">
      <c r="A39" s="239"/>
      <c r="B39" s="242"/>
      <c r="C39" s="242"/>
      <c r="D39" s="248"/>
      <c r="E39" s="248"/>
      <c r="F39" s="242"/>
      <c r="G39" s="263"/>
      <c r="H39" s="266"/>
      <c r="I39" s="260"/>
      <c r="J39" s="257"/>
      <c r="K39" s="260"/>
      <c r="L39" s="266"/>
      <c r="M39" s="260"/>
      <c r="N39" s="269"/>
      <c r="O39" s="6"/>
      <c r="P39" s="147"/>
      <c r="Q39" s="139"/>
      <c r="R39" s="140"/>
      <c r="S39" s="140"/>
      <c r="T39" s="141"/>
      <c r="U39" s="140"/>
      <c r="V39" s="140"/>
      <c r="W39" s="140"/>
      <c r="X39" s="142"/>
      <c r="Y39" s="143"/>
      <c r="Z39" s="144"/>
      <c r="AA39" s="143"/>
      <c r="AB39" s="144"/>
      <c r="AC39" s="145"/>
      <c r="AD39" s="146"/>
      <c r="AE39" s="147"/>
      <c r="AF39" s="147"/>
      <c r="AG39" s="147"/>
      <c r="AH39" s="148"/>
      <c r="AI39" s="148"/>
      <c r="AJ39" s="147"/>
      <c r="AK39" s="149"/>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3">
      <c r="A40" s="239"/>
      <c r="B40" s="242"/>
      <c r="C40" s="242"/>
      <c r="D40" s="248"/>
      <c r="E40" s="248"/>
      <c r="F40" s="242"/>
      <c r="G40" s="263"/>
      <c r="H40" s="266"/>
      <c r="I40" s="260"/>
      <c r="J40" s="257"/>
      <c r="K40" s="260"/>
      <c r="L40" s="266"/>
      <c r="M40" s="260"/>
      <c r="N40" s="269"/>
      <c r="O40" s="122"/>
      <c r="P40" s="123"/>
      <c r="Q40" s="124"/>
      <c r="R40" s="125"/>
      <c r="S40" s="125"/>
      <c r="T40" s="126"/>
      <c r="U40" s="125"/>
      <c r="V40" s="125"/>
      <c r="W40" s="125"/>
      <c r="X40" s="127"/>
      <c r="Y40" s="128"/>
      <c r="Z40" s="129"/>
      <c r="AA40" s="128"/>
      <c r="AB40" s="129"/>
      <c r="AC40" s="130"/>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3">
      <c r="A41" s="239"/>
      <c r="B41" s="242"/>
      <c r="C41" s="242"/>
      <c r="D41" s="248"/>
      <c r="E41" s="248"/>
      <c r="F41" s="242"/>
      <c r="G41" s="263"/>
      <c r="H41" s="266"/>
      <c r="I41" s="260"/>
      <c r="J41" s="257"/>
      <c r="K41" s="260"/>
      <c r="L41" s="266"/>
      <c r="M41" s="260"/>
      <c r="N41" s="269"/>
      <c r="O41" s="122"/>
      <c r="P41" s="123"/>
      <c r="Q41" s="124"/>
      <c r="R41" s="125"/>
      <c r="S41" s="125"/>
      <c r="T41" s="126"/>
      <c r="U41" s="125"/>
      <c r="V41" s="125"/>
      <c r="W41" s="125"/>
      <c r="X41" s="127"/>
      <c r="Y41" s="128"/>
      <c r="Z41" s="129"/>
      <c r="AA41" s="128"/>
      <c r="AB41" s="129"/>
      <c r="AC41" s="130"/>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3">
      <c r="A42" s="240"/>
      <c r="B42" s="243"/>
      <c r="C42" s="243"/>
      <c r="D42" s="249"/>
      <c r="E42" s="249"/>
      <c r="F42" s="243"/>
      <c r="G42" s="264"/>
      <c r="H42" s="267"/>
      <c r="I42" s="261"/>
      <c r="J42" s="258"/>
      <c r="K42" s="261"/>
      <c r="L42" s="267"/>
      <c r="M42" s="261"/>
      <c r="N42" s="270"/>
      <c r="O42" s="122"/>
      <c r="P42" s="123"/>
      <c r="Q42" s="124"/>
      <c r="R42" s="125"/>
      <c r="S42" s="125"/>
      <c r="T42" s="126"/>
      <c r="U42" s="125"/>
      <c r="V42" s="125"/>
      <c r="W42" s="125"/>
      <c r="X42" s="127"/>
      <c r="Y42" s="128"/>
      <c r="Z42" s="129"/>
      <c r="AA42" s="128"/>
      <c r="AB42" s="129"/>
      <c r="AC42" s="130"/>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3">
      <c r="A43" s="238"/>
      <c r="B43" s="241"/>
      <c r="C43" s="158"/>
      <c r="D43" s="155"/>
      <c r="E43" s="161"/>
      <c r="F43" s="158"/>
      <c r="G43" s="250"/>
      <c r="H43" s="253"/>
      <c r="I43" s="232"/>
      <c r="J43" s="256"/>
      <c r="K43" s="232"/>
      <c r="L43" s="253"/>
      <c r="M43" s="232"/>
      <c r="N43" s="235"/>
      <c r="O43" s="122"/>
      <c r="P43" s="150"/>
      <c r="Q43" s="124"/>
      <c r="R43" s="125"/>
      <c r="S43" s="125"/>
      <c r="T43" s="126"/>
      <c r="U43" s="125"/>
      <c r="V43" s="125"/>
      <c r="W43" s="125"/>
      <c r="X43" s="127"/>
      <c r="Y43" s="128"/>
      <c r="Z43" s="129"/>
      <c r="AA43" s="128"/>
      <c r="AB43" s="129"/>
      <c r="AC43" s="130"/>
      <c r="AD43" s="131"/>
      <c r="AE43" s="132"/>
      <c r="AF43" s="147"/>
      <c r="AG43" s="147"/>
      <c r="AH43" s="148"/>
      <c r="AI43" s="148"/>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3">
      <c r="A44" s="239"/>
      <c r="B44" s="242"/>
      <c r="C44" s="159"/>
      <c r="D44" s="156"/>
      <c r="E44" s="162"/>
      <c r="F44" s="159"/>
      <c r="G44" s="251"/>
      <c r="H44" s="254"/>
      <c r="I44" s="233"/>
      <c r="J44" s="257"/>
      <c r="K44" s="233"/>
      <c r="L44" s="254"/>
      <c r="M44" s="233"/>
      <c r="N44" s="236"/>
      <c r="O44" s="122"/>
      <c r="P44" s="150"/>
      <c r="Q44" s="124"/>
      <c r="R44" s="125"/>
      <c r="S44" s="125"/>
      <c r="T44" s="126"/>
      <c r="U44" s="125"/>
      <c r="V44" s="125"/>
      <c r="W44" s="125"/>
      <c r="X44" s="127"/>
      <c r="Y44" s="128"/>
      <c r="Z44" s="129"/>
      <c r="AA44" s="128"/>
      <c r="AB44" s="129"/>
      <c r="AC44" s="130"/>
      <c r="AD44" s="131"/>
      <c r="AE44" s="132"/>
      <c r="AF44" s="132"/>
      <c r="AG44" s="133"/>
      <c r="AH44" s="148"/>
      <c r="AI44" s="148"/>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3">
      <c r="A45" s="239"/>
      <c r="B45" s="242"/>
      <c r="C45" s="159"/>
      <c r="D45" s="156"/>
      <c r="E45" s="162"/>
      <c r="F45" s="159"/>
      <c r="G45" s="251"/>
      <c r="H45" s="254"/>
      <c r="I45" s="233"/>
      <c r="J45" s="257"/>
      <c r="K45" s="233"/>
      <c r="L45" s="254"/>
      <c r="M45" s="233"/>
      <c r="N45" s="236"/>
      <c r="O45" s="122"/>
      <c r="P45" s="149"/>
      <c r="Q45" s="124"/>
      <c r="R45" s="125"/>
      <c r="S45" s="125"/>
      <c r="T45" s="126"/>
      <c r="U45" s="125"/>
      <c r="V45" s="125"/>
      <c r="W45" s="125"/>
      <c r="X45" s="127"/>
      <c r="Y45" s="128"/>
      <c r="Z45" s="129"/>
      <c r="AA45" s="128"/>
      <c r="AB45" s="129"/>
      <c r="AC45" s="130"/>
      <c r="AD45" s="131"/>
      <c r="AE45" s="132"/>
      <c r="AF45" s="132"/>
      <c r="AG45" s="133"/>
      <c r="AH45" s="148"/>
      <c r="AI45" s="148"/>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3">
      <c r="A46" s="239"/>
      <c r="B46" s="242"/>
      <c r="C46" s="159"/>
      <c r="D46" s="156"/>
      <c r="E46" s="162"/>
      <c r="F46" s="159"/>
      <c r="G46" s="251"/>
      <c r="H46" s="254"/>
      <c r="I46" s="233"/>
      <c r="J46" s="257"/>
      <c r="K46" s="233"/>
      <c r="L46" s="254"/>
      <c r="M46" s="233"/>
      <c r="N46" s="236"/>
      <c r="O46" s="122"/>
      <c r="P46" s="150"/>
      <c r="Q46" s="124"/>
      <c r="R46" s="125"/>
      <c r="S46" s="125"/>
      <c r="T46" s="126"/>
      <c r="U46" s="125"/>
      <c r="V46" s="125"/>
      <c r="W46" s="125"/>
      <c r="X46" s="127"/>
      <c r="Y46" s="128"/>
      <c r="Z46" s="129"/>
      <c r="AA46" s="128"/>
      <c r="AB46" s="129"/>
      <c r="AC46" s="130"/>
      <c r="AD46" s="131"/>
      <c r="AE46" s="132"/>
      <c r="AF46" s="132"/>
      <c r="AG46" s="133"/>
      <c r="AH46" s="148"/>
      <c r="AI46" s="148"/>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3">
      <c r="A47" s="239"/>
      <c r="B47" s="242"/>
      <c r="C47" s="159"/>
      <c r="D47" s="156"/>
      <c r="E47" s="162"/>
      <c r="F47" s="159"/>
      <c r="G47" s="251"/>
      <c r="H47" s="254"/>
      <c r="I47" s="233"/>
      <c r="J47" s="257"/>
      <c r="K47" s="233"/>
      <c r="L47" s="254"/>
      <c r="M47" s="233"/>
      <c r="N47" s="236"/>
      <c r="O47" s="122"/>
      <c r="P47" s="150"/>
      <c r="Q47" s="124"/>
      <c r="R47" s="125"/>
      <c r="S47" s="125"/>
      <c r="T47" s="126"/>
      <c r="U47" s="125"/>
      <c r="V47" s="125"/>
      <c r="W47" s="125"/>
      <c r="X47" s="127"/>
      <c r="Y47" s="128"/>
      <c r="Z47" s="129"/>
      <c r="AA47" s="128"/>
      <c r="AB47" s="129"/>
      <c r="AC47" s="130"/>
      <c r="AD47" s="131"/>
      <c r="AE47" s="132"/>
      <c r="AF47" s="132"/>
      <c r="AG47" s="133"/>
      <c r="AH47" s="148"/>
      <c r="AI47" s="148"/>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3">
      <c r="A48" s="240"/>
      <c r="B48" s="243"/>
      <c r="C48" s="160"/>
      <c r="D48" s="157"/>
      <c r="E48" s="163"/>
      <c r="F48" s="160"/>
      <c r="G48" s="252"/>
      <c r="H48" s="255"/>
      <c r="I48" s="234"/>
      <c r="J48" s="258"/>
      <c r="K48" s="234"/>
      <c r="L48" s="255"/>
      <c r="M48" s="234"/>
      <c r="N48" s="237"/>
      <c r="O48" s="122"/>
      <c r="P48" s="150"/>
      <c r="Q48" s="124"/>
      <c r="R48" s="125"/>
      <c r="S48" s="125"/>
      <c r="T48" s="126"/>
      <c r="U48" s="125"/>
      <c r="V48" s="125"/>
      <c r="W48" s="125"/>
      <c r="X48" s="127"/>
      <c r="Y48" s="128"/>
      <c r="Z48" s="129"/>
      <c r="AA48" s="128"/>
      <c r="AB48" s="129"/>
      <c r="AC48" s="130"/>
      <c r="AD48" s="131"/>
      <c r="AE48" s="132"/>
      <c r="AF48" s="132"/>
      <c r="AG48" s="133"/>
      <c r="AH48" s="148"/>
      <c r="AI48" s="148"/>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3">
      <c r="A49" s="238"/>
      <c r="B49" s="241"/>
      <c r="C49" s="158"/>
      <c r="D49" s="155"/>
      <c r="E49" s="161"/>
      <c r="F49" s="158"/>
      <c r="G49" s="250"/>
      <c r="H49" s="253"/>
      <c r="I49" s="232"/>
      <c r="J49" s="256"/>
      <c r="K49" s="232"/>
      <c r="L49" s="253"/>
      <c r="M49" s="232"/>
      <c r="N49" s="235"/>
      <c r="O49" s="122"/>
      <c r="P49" s="150"/>
      <c r="Q49" s="124"/>
      <c r="R49" s="125"/>
      <c r="S49" s="125"/>
      <c r="T49" s="126"/>
      <c r="U49" s="125"/>
      <c r="V49" s="125"/>
      <c r="W49" s="125"/>
      <c r="X49" s="127"/>
      <c r="Y49" s="128"/>
      <c r="Z49" s="129"/>
      <c r="AA49" s="128"/>
      <c r="AB49" s="129"/>
      <c r="AC49" s="130"/>
      <c r="AD49" s="131"/>
      <c r="AE49" s="132"/>
      <c r="AF49" s="147"/>
      <c r="AG49" s="147"/>
      <c r="AH49" s="148"/>
      <c r="AI49" s="148"/>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39"/>
      <c r="B50" s="242"/>
      <c r="C50" s="159"/>
      <c r="D50" s="156"/>
      <c r="E50" s="162"/>
      <c r="F50" s="159"/>
      <c r="G50" s="251"/>
      <c r="H50" s="254"/>
      <c r="I50" s="233"/>
      <c r="J50" s="257"/>
      <c r="K50" s="233"/>
      <c r="L50" s="254"/>
      <c r="M50" s="233"/>
      <c r="N50" s="236"/>
      <c r="O50" s="122"/>
      <c r="P50" s="150"/>
      <c r="Q50" s="124"/>
      <c r="R50" s="125"/>
      <c r="S50" s="125"/>
      <c r="T50" s="126"/>
      <c r="U50" s="125"/>
      <c r="V50" s="125"/>
      <c r="W50" s="125"/>
      <c r="X50" s="127"/>
      <c r="Y50" s="128"/>
      <c r="Z50" s="129"/>
      <c r="AA50" s="128"/>
      <c r="AB50" s="129"/>
      <c r="AC50" s="130"/>
      <c r="AD50" s="131"/>
      <c r="AE50" s="132"/>
      <c r="AF50" s="132"/>
      <c r="AG50" s="147"/>
      <c r="AH50" s="148"/>
      <c r="AI50" s="148"/>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39"/>
      <c r="B51" s="242"/>
      <c r="C51" s="159"/>
      <c r="D51" s="156"/>
      <c r="E51" s="162"/>
      <c r="F51" s="159"/>
      <c r="G51" s="251"/>
      <c r="H51" s="254"/>
      <c r="I51" s="233"/>
      <c r="J51" s="257"/>
      <c r="K51" s="233"/>
      <c r="L51" s="254"/>
      <c r="M51" s="233"/>
      <c r="N51" s="236"/>
      <c r="O51" s="122"/>
      <c r="P51" s="149"/>
      <c r="Q51" s="124"/>
      <c r="R51" s="125"/>
      <c r="S51" s="125"/>
      <c r="T51" s="126"/>
      <c r="U51" s="125"/>
      <c r="V51" s="125"/>
      <c r="W51" s="125"/>
      <c r="X51" s="127"/>
      <c r="Y51" s="128"/>
      <c r="Z51" s="129"/>
      <c r="AA51" s="128"/>
      <c r="AB51" s="129"/>
      <c r="AC51" s="130"/>
      <c r="AD51" s="131"/>
      <c r="AE51" s="132"/>
      <c r="AF51" s="132"/>
      <c r="AG51" s="147"/>
      <c r="AH51" s="148"/>
      <c r="AI51" s="148"/>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39"/>
      <c r="B52" s="242"/>
      <c r="C52" s="159"/>
      <c r="D52" s="156"/>
      <c r="E52" s="162"/>
      <c r="F52" s="159"/>
      <c r="G52" s="251"/>
      <c r="H52" s="254"/>
      <c r="I52" s="233"/>
      <c r="J52" s="257"/>
      <c r="K52" s="233"/>
      <c r="L52" s="254"/>
      <c r="M52" s="233"/>
      <c r="N52" s="236"/>
      <c r="O52" s="122"/>
      <c r="P52" s="150"/>
      <c r="Q52" s="124"/>
      <c r="R52" s="125"/>
      <c r="S52" s="125"/>
      <c r="T52" s="126"/>
      <c r="U52" s="125"/>
      <c r="V52" s="125"/>
      <c r="W52" s="125"/>
      <c r="X52" s="127"/>
      <c r="Y52" s="128"/>
      <c r="Z52" s="129"/>
      <c r="AA52" s="128"/>
      <c r="AB52" s="129"/>
      <c r="AC52" s="130"/>
      <c r="AD52" s="131"/>
      <c r="AE52" s="132"/>
      <c r="AF52" s="132"/>
      <c r="AG52" s="147"/>
      <c r="AH52" s="148"/>
      <c r="AI52" s="148"/>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39"/>
      <c r="B53" s="242"/>
      <c r="C53" s="159"/>
      <c r="D53" s="156"/>
      <c r="E53" s="162"/>
      <c r="F53" s="159"/>
      <c r="G53" s="251"/>
      <c r="H53" s="254"/>
      <c r="I53" s="233"/>
      <c r="J53" s="257"/>
      <c r="K53" s="233"/>
      <c r="L53" s="254"/>
      <c r="M53" s="233"/>
      <c r="N53" s="236"/>
      <c r="O53" s="122"/>
      <c r="P53" s="150"/>
      <c r="Q53" s="124"/>
      <c r="R53" s="125"/>
      <c r="S53" s="125"/>
      <c r="T53" s="126"/>
      <c r="U53" s="125"/>
      <c r="V53" s="125"/>
      <c r="W53" s="125"/>
      <c r="X53" s="127"/>
      <c r="Y53" s="128"/>
      <c r="Z53" s="129"/>
      <c r="AA53" s="128"/>
      <c r="AB53" s="129"/>
      <c r="AC53" s="130"/>
      <c r="AD53" s="131"/>
      <c r="AE53" s="132"/>
      <c r="AF53" s="132"/>
      <c r="AG53" s="147"/>
      <c r="AH53" s="148"/>
      <c r="AI53" s="148"/>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40"/>
      <c r="B54" s="243"/>
      <c r="C54" s="160"/>
      <c r="D54" s="157"/>
      <c r="E54" s="163"/>
      <c r="F54" s="160"/>
      <c r="G54" s="252"/>
      <c r="H54" s="255"/>
      <c r="I54" s="234"/>
      <c r="J54" s="258"/>
      <c r="K54" s="234"/>
      <c r="L54" s="255"/>
      <c r="M54" s="234"/>
      <c r="N54" s="237"/>
      <c r="O54" s="122"/>
      <c r="P54" s="150"/>
      <c r="Q54" s="124"/>
      <c r="R54" s="125"/>
      <c r="S54" s="125"/>
      <c r="T54" s="126"/>
      <c r="U54" s="125"/>
      <c r="V54" s="125"/>
      <c r="W54" s="125"/>
      <c r="X54" s="127"/>
      <c r="Y54" s="128"/>
      <c r="Z54" s="129"/>
      <c r="AA54" s="128"/>
      <c r="AB54" s="129"/>
      <c r="AC54" s="130"/>
      <c r="AD54" s="131"/>
      <c r="AE54" s="132"/>
      <c r="AF54" s="132"/>
      <c r="AG54" s="147"/>
      <c r="AH54" s="148"/>
      <c r="AI54" s="148"/>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38"/>
      <c r="B55" s="241"/>
      <c r="C55" s="241"/>
      <c r="D55" s="244"/>
      <c r="E55" s="247"/>
      <c r="F55" s="241"/>
      <c r="G55" s="250"/>
      <c r="H55" s="253"/>
      <c r="I55" s="232"/>
      <c r="J55" s="256"/>
      <c r="K55" s="232"/>
      <c r="L55" s="253"/>
      <c r="M55" s="232"/>
      <c r="N55" s="235"/>
      <c r="O55" s="122"/>
      <c r="P55" s="150"/>
      <c r="Q55" s="124"/>
      <c r="R55" s="125"/>
      <c r="S55" s="125"/>
      <c r="T55" s="126"/>
      <c r="U55" s="125"/>
      <c r="V55" s="125"/>
      <c r="W55" s="125"/>
      <c r="X55" s="127"/>
      <c r="Y55" s="128"/>
      <c r="Z55" s="129"/>
      <c r="AA55" s="128"/>
      <c r="AB55" s="129"/>
      <c r="AC55" s="130"/>
      <c r="AD55" s="131"/>
      <c r="AE55" s="132"/>
      <c r="AF55" s="147"/>
      <c r="AG55" s="147"/>
      <c r="AH55" s="148"/>
      <c r="AI55" s="148"/>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39"/>
      <c r="B56" s="242"/>
      <c r="C56" s="242"/>
      <c r="D56" s="245"/>
      <c r="E56" s="248"/>
      <c r="F56" s="242"/>
      <c r="G56" s="251"/>
      <c r="H56" s="254"/>
      <c r="I56" s="233"/>
      <c r="J56" s="257"/>
      <c r="K56" s="233"/>
      <c r="L56" s="254"/>
      <c r="M56" s="233"/>
      <c r="N56" s="236"/>
      <c r="O56" s="122"/>
      <c r="P56" s="150"/>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39"/>
      <c r="B57" s="242"/>
      <c r="C57" s="242"/>
      <c r="D57" s="245"/>
      <c r="E57" s="248"/>
      <c r="F57" s="242"/>
      <c r="G57" s="251"/>
      <c r="H57" s="254"/>
      <c r="I57" s="233"/>
      <c r="J57" s="257"/>
      <c r="K57" s="233"/>
      <c r="L57" s="254"/>
      <c r="M57" s="233"/>
      <c r="N57" s="236"/>
      <c r="O57" s="122"/>
      <c r="P57" s="149"/>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39"/>
      <c r="B58" s="242"/>
      <c r="C58" s="242"/>
      <c r="D58" s="245"/>
      <c r="E58" s="248"/>
      <c r="F58" s="242"/>
      <c r="G58" s="251"/>
      <c r="H58" s="254"/>
      <c r="I58" s="233"/>
      <c r="J58" s="257"/>
      <c r="K58" s="233"/>
      <c r="L58" s="254"/>
      <c r="M58" s="233"/>
      <c r="N58" s="236"/>
      <c r="O58" s="122"/>
      <c r="P58" s="150"/>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39"/>
      <c r="B59" s="242"/>
      <c r="C59" s="242"/>
      <c r="D59" s="245"/>
      <c r="E59" s="248"/>
      <c r="F59" s="242"/>
      <c r="G59" s="251"/>
      <c r="H59" s="254"/>
      <c r="I59" s="233"/>
      <c r="J59" s="257"/>
      <c r="K59" s="233"/>
      <c r="L59" s="254"/>
      <c r="M59" s="233"/>
      <c r="N59" s="236"/>
      <c r="O59" s="122"/>
      <c r="P59" s="150"/>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40"/>
      <c r="B60" s="243"/>
      <c r="C60" s="243"/>
      <c r="D60" s="246"/>
      <c r="E60" s="249"/>
      <c r="F60" s="243"/>
      <c r="G60" s="252"/>
      <c r="H60" s="255"/>
      <c r="I60" s="234"/>
      <c r="J60" s="258"/>
      <c r="K60" s="234"/>
      <c r="L60" s="255"/>
      <c r="M60" s="234"/>
      <c r="N60" s="237"/>
      <c r="O60" s="122"/>
      <c r="P60" s="150"/>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38">
        <v>10</v>
      </c>
      <c r="B61" s="241"/>
      <c r="C61" s="241"/>
      <c r="D61" s="244"/>
      <c r="E61" s="247"/>
      <c r="F61" s="241"/>
      <c r="G61" s="250"/>
      <c r="H61" s="253" t="str">
        <f>IF(G61&lt;=0,"",IF(G61&lt;=2,"Muy Baja",IF(G61&lt;=24,"Baja",IF(G61&lt;=500,"Media",IF(G61&lt;=5000,"Alta","Muy Alta")))))</f>
        <v/>
      </c>
      <c r="I61" s="232" t="str">
        <f>IF(H61="","",IF(H61="Muy Baja",0.2,IF(H61="Baja",0.4,IF(H61="Media",0.6,IF(H61="Alta",0.8,IF(H61="Muy Alta",1,))))))</f>
        <v/>
      </c>
      <c r="J61" s="256"/>
      <c r="K61" s="232">
        <f>IF(NOT(ISERROR(MATCH(J61,'Tabla Impacto'!$B$221:$B$223,0))),'Tabla Impacto'!$F$223&amp;"Por favor no seleccionar los criterios de impacto(Afectación Económica o presupuestal y Pérdida Reputacional)",J61)</f>
        <v>0</v>
      </c>
      <c r="L61" s="253" t="str">
        <f>IF(OR(K61='Tabla Impacto'!$C$11,K61='Tabla Impacto'!$D$11),"Leve",IF(OR(K61='Tabla Impacto'!$C$12,K61='Tabla Impacto'!$D$12),"Menor",IF(OR(K61='Tabla Impacto'!$C$13,K61='Tabla Impacto'!$D$13),"Moderado",IF(OR(K61='Tabla Impacto'!$C$14,K61='Tabla Impacto'!$D$14),"Mayor",IF(OR(K61='Tabla Impacto'!$C$15,K61='Tabla Impacto'!$D$15),"Catastrófico","")))))</f>
        <v/>
      </c>
      <c r="M61" s="232" t="str">
        <f>IF(L61="","",IF(L61="Leve",0.2,IF(L61="Menor",0.4,IF(L61="Moderado",0.6,IF(L61="Mayor",0.8,IF(L61="Catastrófico",1,))))))</f>
        <v/>
      </c>
      <c r="N61" s="235"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c r="P61" s="150"/>
      <c r="Q61" s="124"/>
      <c r="R61" s="125"/>
      <c r="S61" s="125"/>
      <c r="T61" s="126"/>
      <c r="U61" s="125"/>
      <c r="V61" s="125"/>
      <c r="W61" s="125"/>
      <c r="X61" s="127"/>
      <c r="Y61" s="128"/>
      <c r="Z61" s="129"/>
      <c r="AA61" s="128"/>
      <c r="AB61" s="129"/>
      <c r="AC61" s="130"/>
      <c r="AD61" s="131"/>
      <c r="AE61" s="132"/>
      <c r="AF61" s="147"/>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39"/>
      <c r="B62" s="242"/>
      <c r="C62" s="242"/>
      <c r="D62" s="245"/>
      <c r="E62" s="248"/>
      <c r="F62" s="242"/>
      <c r="G62" s="251"/>
      <c r="H62" s="254"/>
      <c r="I62" s="233"/>
      <c r="J62" s="257"/>
      <c r="K62" s="233">
        <f>IF(NOT(ISERROR(MATCH(J62,_xlfn.ANCHORARRAY(E73),0))),I75&amp;"Por favor no seleccionar los criterios de impacto",J62)</f>
        <v>0</v>
      </c>
      <c r="L62" s="254"/>
      <c r="M62" s="233"/>
      <c r="N62" s="236"/>
      <c r="O62" s="122">
        <v>2</v>
      </c>
      <c r="P62" s="123"/>
      <c r="Q62" s="124" t="str">
        <f>IF(OR(R62="Preventivo",R62="Detectivo"),"Probabilidad",IF(R62="Correctivo","Impacto",""))</f>
        <v/>
      </c>
      <c r="R62" s="125"/>
      <c r="S62" s="125"/>
      <c r="T62" s="126" t="str">
        <f t="shared" ref="T62:T66" si="35">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36">+X62</f>
        <v/>
      </c>
      <c r="AA62" s="128" t="str">
        <f t="shared" si="3"/>
        <v/>
      </c>
      <c r="AB62" s="129" t="str">
        <f>IFERROR(IF(AND(Q61="Impacto",Q62="Impacto"),(AB61-(+AB61*T62)),IF(Q62="Impacto",(M61-(+M61*T62)),IF(Q62="Probabilidad",AB61,""))),"")</f>
        <v/>
      </c>
      <c r="AC62" s="130" t="str">
        <f t="shared" ref="AC62:AC63" si="3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3">
      <c r="A63" s="239"/>
      <c r="B63" s="242"/>
      <c r="C63" s="242"/>
      <c r="D63" s="245"/>
      <c r="E63" s="248"/>
      <c r="F63" s="242"/>
      <c r="G63" s="251"/>
      <c r="H63" s="254"/>
      <c r="I63" s="233"/>
      <c r="J63" s="257"/>
      <c r="K63" s="233">
        <f>IF(NOT(ISERROR(MATCH(J63,_xlfn.ANCHORARRAY(E74),0))),I76&amp;"Por favor no seleccionar los criterios de impacto",J63)</f>
        <v>0</v>
      </c>
      <c r="L63" s="254"/>
      <c r="M63" s="233"/>
      <c r="N63" s="236"/>
      <c r="O63" s="122">
        <v>3</v>
      </c>
      <c r="P63" s="135"/>
      <c r="Q63" s="124" t="str">
        <f>IF(OR(R63="Preventivo",R63="Detectivo"),"Probabilidad",IF(R63="Correctivo","Impacto",""))</f>
        <v/>
      </c>
      <c r="R63" s="125"/>
      <c r="S63" s="125"/>
      <c r="T63" s="126" t="str">
        <f t="shared" si="35"/>
        <v/>
      </c>
      <c r="U63" s="125"/>
      <c r="V63" s="125"/>
      <c r="W63" s="125"/>
      <c r="X63" s="127" t="str">
        <f>IFERROR(IF(AND(Q62="Probabilidad",Q63="Probabilidad"),(Z62-(+Z62*T63)),IF(AND(Q62="Impacto",Q63="Probabilidad"),(Z61-(+Z61*T63)),IF(Q63="Impacto",Z62,""))),"")</f>
        <v/>
      </c>
      <c r="Y63" s="128" t="str">
        <f t="shared" si="1"/>
        <v/>
      </c>
      <c r="Z63" s="129" t="str">
        <f t="shared" si="36"/>
        <v/>
      </c>
      <c r="AA63" s="128" t="str">
        <f t="shared" si="3"/>
        <v/>
      </c>
      <c r="AB63" s="129" t="str">
        <f>IFERROR(IF(AND(Q62="Impacto",Q63="Impacto"),(AB62-(+AB62*T63)),IF(AND(Q62="Probabilidad",Q63="Impacto"),(AB61-(+AB61*T63)),IF(Q63="Probabilidad",AB62,""))),"")</f>
        <v/>
      </c>
      <c r="AC63" s="130" t="str">
        <f t="shared" si="37"/>
        <v/>
      </c>
      <c r="AD63" s="131"/>
      <c r="AE63" s="132"/>
      <c r="AF63" s="132"/>
      <c r="AG63" s="133"/>
      <c r="AH63" s="134"/>
      <c r="AI63" s="134"/>
      <c r="AJ63" s="132"/>
      <c r="AK63" s="133"/>
    </row>
    <row r="64" spans="1:69" ht="151.5" hidden="1" customHeight="1" x14ac:dyDescent="0.3">
      <c r="A64" s="239"/>
      <c r="B64" s="242"/>
      <c r="C64" s="242"/>
      <c r="D64" s="245"/>
      <c r="E64" s="248"/>
      <c r="F64" s="242"/>
      <c r="G64" s="251"/>
      <c r="H64" s="254"/>
      <c r="I64" s="233"/>
      <c r="J64" s="257"/>
      <c r="K64" s="233">
        <f>IF(NOT(ISERROR(MATCH(J64,_xlfn.ANCHORARRAY(E75),0))),I77&amp;"Por favor no seleccionar los criterios de impacto",J64)</f>
        <v>0</v>
      </c>
      <c r="L64" s="254"/>
      <c r="M64" s="233"/>
      <c r="N64" s="236"/>
      <c r="O64" s="122">
        <v>4</v>
      </c>
      <c r="P64" s="123"/>
      <c r="Q64" s="124" t="str">
        <f t="shared" ref="Q64:Q66" si="38">IF(OR(R64="Preventivo",R64="Detectivo"),"Probabilidad",IF(R64="Correctivo","Impacto",""))</f>
        <v/>
      </c>
      <c r="R64" s="125"/>
      <c r="S64" s="125"/>
      <c r="T64" s="126" t="str">
        <f t="shared" si="35"/>
        <v/>
      </c>
      <c r="U64" s="125"/>
      <c r="V64" s="125"/>
      <c r="W64" s="125"/>
      <c r="X64" s="127" t="str">
        <f t="shared" ref="X64:X66" si="39">IFERROR(IF(AND(Q63="Probabilidad",Q64="Probabilidad"),(Z63-(+Z63*T64)),IF(AND(Q63="Impacto",Q64="Probabilidad"),(Z62-(+Z62*T64)),IF(Q64="Impacto",Z63,""))),"")</f>
        <v/>
      </c>
      <c r="Y64" s="128" t="str">
        <f t="shared" si="1"/>
        <v/>
      </c>
      <c r="Z64" s="129" t="str">
        <f t="shared" si="36"/>
        <v/>
      </c>
      <c r="AA64" s="128" t="str">
        <f t="shared" si="3"/>
        <v/>
      </c>
      <c r="AB64" s="129" t="str">
        <f t="shared" ref="AB64:AB66" si="40">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3">
      <c r="A65" s="239"/>
      <c r="B65" s="242"/>
      <c r="C65" s="242"/>
      <c r="D65" s="245"/>
      <c r="E65" s="248"/>
      <c r="F65" s="242"/>
      <c r="G65" s="251"/>
      <c r="H65" s="254"/>
      <c r="I65" s="233"/>
      <c r="J65" s="257"/>
      <c r="K65" s="233">
        <f>IF(NOT(ISERROR(MATCH(J65,_xlfn.ANCHORARRAY(E76),0))),I78&amp;"Por favor no seleccionar los criterios de impacto",J65)</f>
        <v>0</v>
      </c>
      <c r="L65" s="254"/>
      <c r="M65" s="233"/>
      <c r="N65" s="236"/>
      <c r="O65" s="122">
        <v>5</v>
      </c>
      <c r="P65" s="123"/>
      <c r="Q65" s="124" t="str">
        <f t="shared" si="38"/>
        <v/>
      </c>
      <c r="R65" s="125"/>
      <c r="S65" s="125"/>
      <c r="T65" s="126" t="str">
        <f t="shared" si="35"/>
        <v/>
      </c>
      <c r="U65" s="125"/>
      <c r="V65" s="125"/>
      <c r="W65" s="125"/>
      <c r="X65" s="127" t="str">
        <f t="shared" si="39"/>
        <v/>
      </c>
      <c r="Y65" s="128" t="str">
        <f t="shared" si="1"/>
        <v/>
      </c>
      <c r="Z65" s="129" t="str">
        <f t="shared" si="36"/>
        <v/>
      </c>
      <c r="AA65" s="128" t="str">
        <f t="shared" si="3"/>
        <v/>
      </c>
      <c r="AB65" s="129" t="str">
        <f t="shared" si="40"/>
        <v/>
      </c>
      <c r="AC65" s="130" t="str">
        <f t="shared" ref="AC65:AC66" si="4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4.1" hidden="1" customHeight="1" x14ac:dyDescent="0.3">
      <c r="A66" s="240"/>
      <c r="B66" s="243"/>
      <c r="C66" s="243"/>
      <c r="D66" s="246"/>
      <c r="E66" s="249"/>
      <c r="F66" s="243"/>
      <c r="G66" s="252"/>
      <c r="H66" s="255"/>
      <c r="I66" s="234"/>
      <c r="J66" s="258"/>
      <c r="K66" s="234">
        <f>IF(NOT(ISERROR(MATCH(J66,_xlfn.ANCHORARRAY(E77),0))),I79&amp;"Por favor no seleccionar los criterios de impacto",J66)</f>
        <v>0</v>
      </c>
      <c r="L66" s="255"/>
      <c r="M66" s="234"/>
      <c r="N66" s="237"/>
      <c r="O66" s="122">
        <v>6</v>
      </c>
      <c r="P66" s="123"/>
      <c r="Q66" s="124" t="str">
        <f t="shared" si="38"/>
        <v/>
      </c>
      <c r="R66" s="125"/>
      <c r="S66" s="125"/>
      <c r="T66" s="126" t="str">
        <f t="shared" si="35"/>
        <v/>
      </c>
      <c r="U66" s="125"/>
      <c r="V66" s="125"/>
      <c r="W66" s="125"/>
      <c r="X66" s="127" t="str">
        <f t="shared" si="39"/>
        <v/>
      </c>
      <c r="Y66" s="128" t="str">
        <f t="shared" si="1"/>
        <v/>
      </c>
      <c r="Z66" s="129" t="str">
        <f t="shared" si="36"/>
        <v/>
      </c>
      <c r="AA66" s="128" t="str">
        <f t="shared" si="3"/>
        <v/>
      </c>
      <c r="AB66" s="129" t="str">
        <f t="shared" si="40"/>
        <v/>
      </c>
      <c r="AC66" s="130" t="str">
        <f t="shared" si="41"/>
        <v/>
      </c>
      <c r="AD66" s="131"/>
      <c r="AE66" s="132"/>
      <c r="AF66" s="132"/>
      <c r="AG66" s="133"/>
      <c r="AH66" s="134"/>
      <c r="AI66" s="134"/>
      <c r="AJ66" s="132"/>
      <c r="AK66" s="133"/>
    </row>
    <row r="67" spans="1:37" ht="49.5" customHeight="1" x14ac:dyDescent="0.3">
      <c r="A67" s="6"/>
      <c r="B67" s="229" t="s">
        <v>130</v>
      </c>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1"/>
    </row>
    <row r="69" spans="1:37" x14ac:dyDescent="0.3">
      <c r="A69" s="1"/>
      <c r="B69" s="23" t="s">
        <v>142</v>
      </c>
      <c r="C69" s="1"/>
      <c r="D69" s="1"/>
      <c r="F69" s="1"/>
    </row>
  </sheetData>
  <dataConsolidate/>
  <mergeCells count="178">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 ref="AK8:AK9"/>
    <mergeCell ref="AJ8:AJ9"/>
    <mergeCell ref="AI8:AI9"/>
    <mergeCell ref="AH8:AH9"/>
    <mergeCell ref="AG8:AG9"/>
    <mergeCell ref="AF8:AF9"/>
    <mergeCell ref="Y8:Y9"/>
    <mergeCell ref="Z8:Z9"/>
    <mergeCell ref="AA8:AA9"/>
    <mergeCell ref="AD8:AD9"/>
    <mergeCell ref="AC8:AC9"/>
    <mergeCell ref="AB8:AB9"/>
    <mergeCell ref="F22:F27"/>
    <mergeCell ref="G22:G27"/>
    <mergeCell ref="H22:H27"/>
    <mergeCell ref="I22:I27"/>
    <mergeCell ref="J16:J21"/>
    <mergeCell ref="G16:G21"/>
    <mergeCell ref="H16:H21"/>
    <mergeCell ref="I16:I21"/>
    <mergeCell ref="G10:G15"/>
    <mergeCell ref="H10:H15"/>
    <mergeCell ref="I10:I15"/>
    <mergeCell ref="J10:J15"/>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M34:M36"/>
    <mergeCell ref="N34:N36"/>
    <mergeCell ref="M37:M42"/>
    <mergeCell ref="N37:N42"/>
    <mergeCell ref="J43:J48"/>
    <mergeCell ref="K43:K48"/>
    <mergeCell ref="L43:L48"/>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I34:I36"/>
    <mergeCell ref="J34:J36"/>
    <mergeCell ref="G37:G42"/>
    <mergeCell ref="H37:H42"/>
    <mergeCell ref="I37:I42"/>
    <mergeCell ref="K34:K36"/>
    <mergeCell ref="L34:L36"/>
    <mergeCell ref="A49:A54"/>
    <mergeCell ref="B49:B54"/>
    <mergeCell ref="A43:A48"/>
    <mergeCell ref="B43:B48"/>
    <mergeCell ref="E55:E60"/>
    <mergeCell ref="F55:F60"/>
    <mergeCell ref="G55:G60"/>
    <mergeCell ref="H55:H60"/>
    <mergeCell ref="I55:I60"/>
    <mergeCell ref="M43:M48"/>
    <mergeCell ref="N43:N48"/>
    <mergeCell ref="G49:G54"/>
    <mergeCell ref="H49:H54"/>
    <mergeCell ref="I49:I54"/>
    <mergeCell ref="J49:J54"/>
    <mergeCell ref="G43:G48"/>
    <mergeCell ref="H43:H48"/>
    <mergeCell ref="I43:I48"/>
    <mergeCell ref="K49:K54"/>
    <mergeCell ref="L49:L54"/>
    <mergeCell ref="M49:M54"/>
    <mergeCell ref="N49:N54"/>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C4:N4"/>
    <mergeCell ref="O4:Q4"/>
    <mergeCell ref="A7:G7"/>
    <mergeCell ref="H7:N7"/>
    <mergeCell ref="O7:W7"/>
    <mergeCell ref="X7:AD7"/>
    <mergeCell ref="AE7:AK7"/>
    <mergeCell ref="A4:B4"/>
    <mergeCell ref="A5:B5"/>
    <mergeCell ref="A6:B6"/>
    <mergeCell ref="C5:E5"/>
    <mergeCell ref="C6:E6"/>
    <mergeCell ref="A1:AK2"/>
  </mergeCells>
  <conditionalFormatting sqref="H10 Y10:Y66">
    <cfRule type="cellIs" dxfId="95" priority="328" operator="equal">
      <formula>"Muy Alta"</formula>
    </cfRule>
    <cfRule type="cellIs" dxfId="94" priority="329" operator="equal">
      <formula>"Alta"</formula>
    </cfRule>
    <cfRule type="cellIs" dxfId="93" priority="330" operator="equal">
      <formula>"Media"</formula>
    </cfRule>
    <cfRule type="cellIs" dxfId="92" priority="331" operator="equal">
      <formula>"Baja"</formula>
    </cfRule>
    <cfRule type="cellIs" dxfId="91" priority="332" operator="equal">
      <formula>"Muy Baja"</formula>
    </cfRule>
  </conditionalFormatting>
  <conditionalFormatting sqref="H22">
    <cfRule type="cellIs" dxfId="90" priority="230" operator="equal">
      <formula>"Muy Alta"</formula>
    </cfRule>
    <cfRule type="cellIs" dxfId="89" priority="231" operator="equal">
      <formula>"Alta"</formula>
    </cfRule>
    <cfRule type="cellIs" dxfId="88" priority="232" operator="equal">
      <formula>"Media"</formula>
    </cfRule>
    <cfRule type="cellIs" dxfId="87" priority="233" operator="equal">
      <formula>"Baja"</formula>
    </cfRule>
    <cfRule type="cellIs" dxfId="86" priority="234" operator="equal">
      <formula>"Muy Baja"</formula>
    </cfRule>
  </conditionalFormatting>
  <conditionalFormatting sqref="H28">
    <cfRule type="cellIs" dxfId="85" priority="202" operator="equal">
      <formula>"Muy Alta"</formula>
    </cfRule>
    <cfRule type="cellIs" dxfId="84" priority="203" operator="equal">
      <formula>"Alta"</formula>
    </cfRule>
    <cfRule type="cellIs" dxfId="83" priority="204" operator="equal">
      <formula>"Media"</formula>
    </cfRule>
    <cfRule type="cellIs" dxfId="82" priority="205" operator="equal">
      <formula>"Baja"</formula>
    </cfRule>
    <cfRule type="cellIs" dxfId="81" priority="206" operator="equal">
      <formula>"Muy Baja"</formula>
    </cfRule>
  </conditionalFormatting>
  <conditionalFormatting sqref="H34">
    <cfRule type="cellIs" dxfId="80" priority="174" operator="equal">
      <formula>"Muy Alta"</formula>
    </cfRule>
    <cfRule type="cellIs" dxfId="79" priority="175" operator="equal">
      <formula>"Alta"</formula>
    </cfRule>
    <cfRule type="cellIs" dxfId="78" priority="176" operator="equal">
      <formula>"Media"</formula>
    </cfRule>
    <cfRule type="cellIs" dxfId="77" priority="177" operator="equal">
      <formula>"Baja"</formula>
    </cfRule>
    <cfRule type="cellIs" dxfId="76" priority="178" operator="equal">
      <formula>"Muy Baja"</formula>
    </cfRule>
  </conditionalFormatting>
  <conditionalFormatting sqref="H37">
    <cfRule type="cellIs" dxfId="75" priority="146" operator="equal">
      <formula>"Muy Alta"</formula>
    </cfRule>
    <cfRule type="cellIs" dxfId="74" priority="147" operator="equal">
      <formula>"Alta"</formula>
    </cfRule>
    <cfRule type="cellIs" dxfId="73" priority="148" operator="equal">
      <formula>"Media"</formula>
    </cfRule>
    <cfRule type="cellIs" dxfId="72" priority="149" operator="equal">
      <formula>"Baja"</formula>
    </cfRule>
    <cfRule type="cellIs" dxfId="71" priority="150" operator="equal">
      <formula>"Muy Baja"</formula>
    </cfRule>
  </conditionalFormatting>
  <conditionalFormatting sqref="H43">
    <cfRule type="cellIs" dxfId="70" priority="118" operator="equal">
      <formula>"Muy Alta"</formula>
    </cfRule>
    <cfRule type="cellIs" dxfId="69" priority="119" operator="equal">
      <formula>"Alta"</formula>
    </cfRule>
    <cfRule type="cellIs" dxfId="68" priority="120" operator="equal">
      <formula>"Media"</formula>
    </cfRule>
    <cfRule type="cellIs" dxfId="67" priority="121" operator="equal">
      <formula>"Baja"</formula>
    </cfRule>
    <cfRule type="cellIs" dxfId="66" priority="122" operator="equal">
      <formula>"Muy Baja"</formula>
    </cfRule>
  </conditionalFormatting>
  <conditionalFormatting sqref="H49">
    <cfRule type="cellIs" dxfId="65" priority="90" operator="equal">
      <formula>"Muy Alta"</formula>
    </cfRule>
    <cfRule type="cellIs" dxfId="64" priority="91" operator="equal">
      <formula>"Alta"</formula>
    </cfRule>
    <cfRule type="cellIs" dxfId="63" priority="92" operator="equal">
      <formula>"Media"</formula>
    </cfRule>
    <cfRule type="cellIs" dxfId="62" priority="93" operator="equal">
      <formula>"Baja"</formula>
    </cfRule>
    <cfRule type="cellIs" dxfId="61" priority="94" operator="equal">
      <formula>"Muy Baja"</formula>
    </cfRule>
  </conditionalFormatting>
  <conditionalFormatting sqref="H55">
    <cfRule type="cellIs" dxfId="60" priority="62" operator="equal">
      <formula>"Muy Alta"</formula>
    </cfRule>
    <cfRule type="cellIs" dxfId="59" priority="63" operator="equal">
      <formula>"Alta"</formula>
    </cfRule>
    <cfRule type="cellIs" dxfId="58" priority="64" operator="equal">
      <formula>"Media"</formula>
    </cfRule>
    <cfRule type="cellIs" dxfId="57" priority="65" operator="equal">
      <formula>"Baja"</formula>
    </cfRule>
    <cfRule type="cellIs" dxfId="56" priority="66" operator="equal">
      <formula>"Muy Baja"</formula>
    </cfRule>
  </conditionalFormatting>
  <conditionalFormatting sqref="H61">
    <cfRule type="cellIs" dxfId="55" priority="34" operator="equal">
      <formula>"Muy Alta"</formula>
    </cfRule>
    <cfRule type="cellIs" dxfId="54" priority="35" operator="equal">
      <formula>"Alta"</formula>
    </cfRule>
    <cfRule type="cellIs" dxfId="53" priority="36" operator="equal">
      <formula>"Media"</formula>
    </cfRule>
    <cfRule type="cellIs" dxfId="52" priority="37" operator="equal">
      <formula>"Baja"</formula>
    </cfRule>
    <cfRule type="cellIs" dxfId="51" priority="38" operator="equal">
      <formula>"Muy Baja"</formula>
    </cfRule>
  </conditionalFormatting>
  <conditionalFormatting sqref="K10:K66">
    <cfRule type="containsText" dxfId="50" priority="10" operator="containsText" text="❌">
      <formula>NOT(ISERROR(SEARCH("❌",K10)))</formula>
    </cfRule>
  </conditionalFormatting>
  <conditionalFormatting sqref="L10 L22 L28 L34 L37 L43 L49 L55 L61 AA10:AA66 L16">
    <cfRule type="cellIs" dxfId="49" priority="323" operator="equal">
      <formula>"Catastrófico"</formula>
    </cfRule>
    <cfRule type="cellIs" dxfId="48" priority="324" operator="equal">
      <formula>"Mayor"</formula>
    </cfRule>
    <cfRule type="cellIs" dxfId="47" priority="325" operator="equal">
      <formula>"Moderado"</formula>
    </cfRule>
    <cfRule type="cellIs" dxfId="46" priority="326" operator="equal">
      <formula>"Menor"</formula>
    </cfRule>
    <cfRule type="cellIs" dxfId="45" priority="327" operator="equal">
      <formula>"Leve"</formula>
    </cfRule>
  </conditionalFormatting>
  <conditionalFormatting sqref="N10 AC10:AC66">
    <cfRule type="cellIs" dxfId="44" priority="319" operator="equal">
      <formula>"Extremo"</formula>
    </cfRule>
    <cfRule type="cellIs" dxfId="43" priority="320" operator="equal">
      <formula>"Alto"</formula>
    </cfRule>
    <cfRule type="cellIs" dxfId="42" priority="321" operator="equal">
      <formula>"Moderado"</formula>
    </cfRule>
    <cfRule type="cellIs" dxfId="41" priority="322" operator="equal">
      <formula>"Bajo"</formula>
    </cfRule>
  </conditionalFormatting>
  <conditionalFormatting sqref="N22">
    <cfRule type="cellIs" dxfId="40" priority="221" operator="equal">
      <formula>"Extremo"</formula>
    </cfRule>
    <cfRule type="cellIs" dxfId="39" priority="222" operator="equal">
      <formula>"Alto"</formula>
    </cfRule>
    <cfRule type="cellIs" dxfId="38" priority="223" operator="equal">
      <formula>"Moderado"</formula>
    </cfRule>
    <cfRule type="cellIs" dxfId="37" priority="224" operator="equal">
      <formula>"Bajo"</formula>
    </cfRule>
  </conditionalFormatting>
  <conditionalFormatting sqref="N28">
    <cfRule type="cellIs" dxfId="36" priority="193" operator="equal">
      <formula>"Extremo"</formula>
    </cfRule>
    <cfRule type="cellIs" dxfId="35" priority="194" operator="equal">
      <formula>"Alto"</formula>
    </cfRule>
    <cfRule type="cellIs" dxfId="34" priority="195" operator="equal">
      <formula>"Moderado"</formula>
    </cfRule>
    <cfRule type="cellIs" dxfId="33" priority="196" operator="equal">
      <formula>"Bajo"</formula>
    </cfRule>
  </conditionalFormatting>
  <conditionalFormatting sqref="N34">
    <cfRule type="cellIs" dxfId="32" priority="165" operator="equal">
      <formula>"Extremo"</formula>
    </cfRule>
    <cfRule type="cellIs" dxfId="31" priority="166" operator="equal">
      <formula>"Alto"</formula>
    </cfRule>
    <cfRule type="cellIs" dxfId="30" priority="167" operator="equal">
      <formula>"Moderado"</formula>
    </cfRule>
    <cfRule type="cellIs" dxfId="29" priority="168" operator="equal">
      <formula>"Bajo"</formula>
    </cfRule>
  </conditionalFormatting>
  <conditionalFormatting sqref="N37">
    <cfRule type="cellIs" dxfId="28" priority="137" operator="equal">
      <formula>"Extremo"</formula>
    </cfRule>
    <cfRule type="cellIs" dxfId="27" priority="138" operator="equal">
      <formula>"Alto"</formula>
    </cfRule>
    <cfRule type="cellIs" dxfId="26" priority="139" operator="equal">
      <formula>"Moderado"</formula>
    </cfRule>
    <cfRule type="cellIs" dxfId="25" priority="140" operator="equal">
      <formula>"Bajo"</formula>
    </cfRule>
  </conditionalFormatting>
  <conditionalFormatting sqref="N43">
    <cfRule type="cellIs" dxfId="24" priority="109" operator="equal">
      <formula>"Extremo"</formula>
    </cfRule>
    <cfRule type="cellIs" dxfId="23" priority="110" operator="equal">
      <formula>"Alto"</formula>
    </cfRule>
    <cfRule type="cellIs" dxfId="22" priority="111" operator="equal">
      <formula>"Moderado"</formula>
    </cfRule>
    <cfRule type="cellIs" dxfId="21" priority="112" operator="equal">
      <formula>"Bajo"</formula>
    </cfRule>
  </conditionalFormatting>
  <conditionalFormatting sqref="N49">
    <cfRule type="cellIs" dxfId="20" priority="81" operator="equal">
      <formula>"Extremo"</formula>
    </cfRule>
    <cfRule type="cellIs" dxfId="19" priority="82" operator="equal">
      <formula>"Alto"</formula>
    </cfRule>
    <cfRule type="cellIs" dxfId="18" priority="83" operator="equal">
      <formula>"Moderado"</formula>
    </cfRule>
    <cfRule type="cellIs" dxfId="17" priority="84" operator="equal">
      <formula>"Bajo"</formula>
    </cfRule>
  </conditionalFormatting>
  <conditionalFormatting sqref="N55">
    <cfRule type="cellIs" dxfId="16" priority="53" operator="equal">
      <formula>"Extremo"</formula>
    </cfRule>
    <cfRule type="cellIs" dxfId="15" priority="54" operator="equal">
      <formula>"Alto"</formula>
    </cfRule>
    <cfRule type="cellIs" dxfId="14" priority="55" operator="equal">
      <formula>"Moderado"</formula>
    </cfRule>
    <cfRule type="cellIs" dxfId="13" priority="56" operator="equal">
      <formula>"Bajo"</formula>
    </cfRule>
  </conditionalFormatting>
  <conditionalFormatting sqref="N61">
    <cfRule type="cellIs" dxfId="12" priority="25" operator="equal">
      <formula>"Extremo"</formula>
    </cfRule>
    <cfRule type="cellIs" dxfId="11" priority="26" operator="equal">
      <formula>"Alto"</formula>
    </cfRule>
    <cfRule type="cellIs" dxfId="10" priority="27" operator="equal">
      <formula>"Moderado"</formula>
    </cfRule>
    <cfRule type="cellIs" dxfId="9" priority="28" operator="equal">
      <formula>"Bajo"</formula>
    </cfRule>
  </conditionalFormatting>
  <conditionalFormatting sqref="H16">
    <cfRule type="cellIs" dxfId="8" priority="5" operator="equal">
      <formula>"Muy Alta"</formula>
    </cfRule>
    <cfRule type="cellIs" dxfId="7" priority="6" operator="equal">
      <formula>"Alta"</formula>
    </cfRule>
    <cfRule type="cellIs" dxfId="6" priority="7" operator="equal">
      <formula>"Media"</formula>
    </cfRule>
    <cfRule type="cellIs" dxfId="5" priority="8" operator="equal">
      <formula>"Baja"</formula>
    </cfRule>
    <cfRule type="cellIs" dxfId="4" priority="9" operator="equal">
      <formula>"Muy Baja"</formula>
    </cfRule>
  </conditionalFormatting>
  <conditionalFormatting sqref="N16">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2">
    <dataValidation showInputMessage="1" showErrorMessage="1" error="Recuerde que las acciones se generan bajo la medida de mitigar el riesgo" sqref="AG10:AG18 AG22:AG39"/>
    <dataValidation allowBlank="1" showInputMessage="1" showErrorMessage="1" error="Recuerde que las acciones se generan bajo la medida de mitigar el riesgo" sqref="AH34:AI34 AH43:AI55 AJ10 AE22:AE28 AH37:AI39 AH10:AI18 AE10:AE15 AH22:AI30"/>
  </dataValidations>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AK10:AK11 AK13:AK14 AK16:AK17 AK19:AK20 AK22:AK23 AK25:AK26 AK28:AK29 AK31:AK32 AK37:AK38 AK40:AK41 AK43:AK44 AK46:AK47 AK49:AK50 AK52:AK53 AK55:AK56 AK58:AK59 AK61:AK62 AK64:AK65 AK34:AK35</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AG40:AG66 AG19:AG21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AH31:AH33 AH35:AH36 AH40:AH42 AH56:AH66 AH19:AH21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AI56:AI66 AI40:AI42 AI31:AI33 AI35:AI36 AI19:AI21</xm:sqref>
        </x14:dataValidation>
        <x14:dataValidation type="list" allowBlank="1" showInputMessage="1" showErrorMessage="1">
          <x14:formula1>
            <xm:f>'Tabla Valoración controles'!$D$4:$D$6</xm:f>
          </x14:formula1>
          <xm:sqref>R10:R66</xm:sqref>
        </x14:dataValidation>
        <x14:dataValidation type="list" allowBlank="1" showInputMessage="1" showErrorMessage="1">
          <x14:formula1>
            <xm:f>'Tabla Valoración controles'!$D$7:$D$8</xm:f>
          </x14:formula1>
          <xm:sqref>S10:S66</xm:sqref>
        </x14:dataValidation>
        <x14:dataValidation type="list" allowBlank="1" showInputMessage="1" showErrorMessage="1">
          <x14:formula1>
            <xm:f>'Tabla Valoración controles'!$D$9:$D$10</xm:f>
          </x14:formula1>
          <xm:sqref>U10:U66</xm:sqref>
        </x14:dataValidation>
        <x14:dataValidation type="list" allowBlank="1" showInputMessage="1" showErrorMessage="1">
          <x14:formula1>
            <xm:f>'Tabla Valoración controles'!$D$11:$D$12</xm:f>
          </x14:formula1>
          <xm:sqref>V10:V66</xm:sqref>
        </x14:dataValidation>
        <x14:dataValidation type="list" allowBlank="1" showInputMessage="1" showErrorMessage="1">
          <x14:formula1>
            <xm:f>'Tabla Valoración controles'!$D$13:$D$14</xm:f>
          </x14:formula1>
          <xm:sqref>W10:W66</xm:sqref>
        </x14:dataValidation>
        <x14:dataValidation type="list" allowBlank="1" showInputMessage="1" showErrorMessage="1">
          <x14:formula1>
            <xm:f>'Opciones Tratamiento'!$B$13:$B$19</xm:f>
          </x14:formula1>
          <xm:sqref>F10:F66</xm:sqref>
        </x14:dataValidation>
        <x14:dataValidation type="list" allowBlank="1" showInputMessage="1" showErrorMessage="1">
          <x14:formula1>
            <xm:f>'Opciones Tratamiento'!$E$2:$E$4</xm:f>
          </x14:formula1>
          <xm:sqref>B10:B66</xm:sqref>
        </x14:dataValidation>
        <x14:dataValidation type="list" allowBlank="1" showInputMessage="1" showErrorMessage="1">
          <x14:formula1>
            <xm:f>'Opciones Tratamiento'!$B$2:$B$5</xm:f>
          </x14:formula1>
          <xm:sqref>AD10:AD66</xm:sqref>
        </x14:dataValidation>
        <x14:dataValidation type="list" allowBlank="1" showInputMessage="1" showErrorMessage="1">
          <x14:formula1>
            <xm:f>'Tabla Impacto'!$F$210:$F$221</xm:f>
          </x14:formula1>
          <xm:sqref>J10:J66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AE29:AE34 AE35:AF66 AF10:AF15 AF22:AF34 AE16:AF21</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AJ11:AJ66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71" t="s">
        <v>159</v>
      </c>
      <c r="C2" s="371"/>
      <c r="D2" s="371"/>
      <c r="E2" s="371"/>
      <c r="F2" s="371"/>
      <c r="G2" s="371"/>
      <c r="H2" s="371"/>
      <c r="I2" s="371"/>
      <c r="J2" s="339" t="s">
        <v>2</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71"/>
      <c r="C3" s="371"/>
      <c r="D3" s="371"/>
      <c r="E3" s="371"/>
      <c r="F3" s="371"/>
      <c r="G3" s="371"/>
      <c r="H3" s="371"/>
      <c r="I3" s="371"/>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71"/>
      <c r="C4" s="371"/>
      <c r="D4" s="371"/>
      <c r="E4" s="371"/>
      <c r="F4" s="371"/>
      <c r="G4" s="371"/>
      <c r="H4" s="371"/>
      <c r="I4" s="371"/>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86" t="s">
        <v>4</v>
      </c>
      <c r="C6" s="286"/>
      <c r="D6" s="287"/>
      <c r="E6" s="324" t="s">
        <v>115</v>
      </c>
      <c r="F6" s="325"/>
      <c r="G6" s="325"/>
      <c r="H6" s="325"/>
      <c r="I6" s="326"/>
      <c r="J6" s="335" t="str">
        <f>IF(AND('Mapa final'!$H$10="Muy Alta",'Mapa final'!$L$10="Leve"),CONCATENATE("R",'Mapa final'!$A$10),"")</f>
        <v/>
      </c>
      <c r="K6" s="336"/>
      <c r="L6" s="336" t="str">
        <f>IF(AND('Mapa final'!$H$16="Muy Alta",'Mapa final'!$L$16="Leve"),CONCATENATE("R",'Mapa final'!$A$16),"")</f>
        <v/>
      </c>
      <c r="M6" s="336"/>
      <c r="N6" s="336" t="str">
        <f>IF(AND('Mapa final'!$H$22="Muy Alta",'Mapa final'!$L$22="Leve"),CONCATENATE("R",'Mapa final'!$A$22),"")</f>
        <v/>
      </c>
      <c r="O6" s="338"/>
      <c r="P6" s="335" t="str">
        <f>IF(AND('Mapa final'!$H$10="Muy Alta",'Mapa final'!$L$10="Menor"),CONCATENATE("R",'Mapa final'!$A$10),"")</f>
        <v/>
      </c>
      <c r="Q6" s="336"/>
      <c r="R6" s="336" t="str">
        <f>IF(AND('Mapa final'!$H$16="Muy Alta",'Mapa final'!$L$16="Menor"),CONCATENATE("R",'Mapa final'!$A$16),"")</f>
        <v/>
      </c>
      <c r="S6" s="336"/>
      <c r="T6" s="336" t="str">
        <f>IF(AND('Mapa final'!$H$22="Muy Alta",'Mapa final'!$L$22="Menor"),CONCATENATE("R",'Mapa final'!$A$22),"")</f>
        <v/>
      </c>
      <c r="U6" s="338"/>
      <c r="V6" s="335" t="str">
        <f>IF(AND('Mapa final'!$H$10="Muy Alta",'Mapa final'!$L$10="Moderado"),CONCATENATE("R",'Mapa final'!$A$10),"")</f>
        <v/>
      </c>
      <c r="W6" s="336"/>
      <c r="X6" s="336" t="str">
        <f>IF(AND('Mapa final'!$H$16="Muy Alta",'Mapa final'!$L$16="Moderado"),CONCATENATE("R",'Mapa final'!$A$16),"")</f>
        <v/>
      </c>
      <c r="Y6" s="336"/>
      <c r="Z6" s="336" t="str">
        <f>IF(AND('Mapa final'!$H$22="Muy Alta",'Mapa final'!$L$22="Moderado"),CONCATENATE("R",'Mapa final'!$A$22),"")</f>
        <v/>
      </c>
      <c r="AA6" s="338"/>
      <c r="AB6" s="335" t="str">
        <f>IF(AND('Mapa final'!$H$10="Muy Alta",'Mapa final'!$L$10="Mayor"),CONCATENATE("R",'Mapa final'!$A$10),"")</f>
        <v/>
      </c>
      <c r="AC6" s="336"/>
      <c r="AD6" s="336" t="str">
        <f>IF(AND('Mapa final'!$H$16="Muy Alta",'Mapa final'!$L$16="Mayor"),CONCATENATE("R",'Mapa final'!$A$16),"")</f>
        <v/>
      </c>
      <c r="AE6" s="336"/>
      <c r="AF6" s="336" t="str">
        <f>IF(AND('Mapa final'!$H$22="Muy Alta",'Mapa final'!$L$22="Mayor"),CONCATENATE("R",'Mapa final'!$A$22),"")</f>
        <v/>
      </c>
      <c r="AG6" s="338"/>
      <c r="AH6" s="350" t="str">
        <f>IF(AND('Mapa final'!$H$10="Muy Alta",'Mapa final'!$L$10="Catastrófico"),CONCATENATE("R",'Mapa final'!$A$10),"")</f>
        <v/>
      </c>
      <c r="AI6" s="351"/>
      <c r="AJ6" s="351" t="str">
        <f>IF(AND('Mapa final'!$H$16="Muy Alta",'Mapa final'!$L$16="Catastrófico"),CONCATENATE("R",'Mapa final'!$A$16),"")</f>
        <v/>
      </c>
      <c r="AK6" s="351"/>
      <c r="AL6" s="351" t="str">
        <f>IF(AND('Mapa final'!$H$22="Muy Alta",'Mapa final'!$L$22="Catastrófico"),CONCATENATE("R",'Mapa final'!$A$22),"")</f>
        <v/>
      </c>
      <c r="AM6" s="352"/>
      <c r="AO6" s="288" t="s">
        <v>78</v>
      </c>
      <c r="AP6" s="289"/>
      <c r="AQ6" s="289"/>
      <c r="AR6" s="289"/>
      <c r="AS6" s="289"/>
      <c r="AT6" s="29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86"/>
      <c r="C7" s="286"/>
      <c r="D7" s="287"/>
      <c r="E7" s="327"/>
      <c r="F7" s="328"/>
      <c r="G7" s="328"/>
      <c r="H7" s="328"/>
      <c r="I7" s="329"/>
      <c r="J7" s="337"/>
      <c r="K7" s="333"/>
      <c r="L7" s="333"/>
      <c r="M7" s="333"/>
      <c r="N7" s="333"/>
      <c r="O7" s="334"/>
      <c r="P7" s="337"/>
      <c r="Q7" s="333"/>
      <c r="R7" s="333"/>
      <c r="S7" s="333"/>
      <c r="T7" s="333"/>
      <c r="U7" s="334"/>
      <c r="V7" s="337"/>
      <c r="W7" s="333"/>
      <c r="X7" s="333"/>
      <c r="Y7" s="333"/>
      <c r="Z7" s="333"/>
      <c r="AA7" s="334"/>
      <c r="AB7" s="337"/>
      <c r="AC7" s="333"/>
      <c r="AD7" s="333"/>
      <c r="AE7" s="333"/>
      <c r="AF7" s="333"/>
      <c r="AG7" s="334"/>
      <c r="AH7" s="344"/>
      <c r="AI7" s="345"/>
      <c r="AJ7" s="345"/>
      <c r="AK7" s="345"/>
      <c r="AL7" s="345"/>
      <c r="AM7" s="346"/>
      <c r="AN7" s="82"/>
      <c r="AO7" s="291"/>
      <c r="AP7" s="292"/>
      <c r="AQ7" s="292"/>
      <c r="AR7" s="292"/>
      <c r="AS7" s="292"/>
      <c r="AT7" s="29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86"/>
      <c r="C8" s="286"/>
      <c r="D8" s="287"/>
      <c r="E8" s="327"/>
      <c r="F8" s="328"/>
      <c r="G8" s="328"/>
      <c r="H8" s="328"/>
      <c r="I8" s="329"/>
      <c r="J8" s="337" t="str">
        <f>IF(AND('Mapa final'!$H$28="Muy Alta",'Mapa final'!$L$28="Leve"),CONCATENATE("R",'Mapa final'!$A$28),"")</f>
        <v/>
      </c>
      <c r="K8" s="333"/>
      <c r="L8" s="333" t="str">
        <f>IF(AND('Mapa final'!$H$34="Muy Alta",'Mapa final'!$L$34="Leve"),CONCATENATE("R",'Mapa final'!$A$34),"")</f>
        <v/>
      </c>
      <c r="M8" s="333"/>
      <c r="N8" s="333" t="str">
        <f>IF(AND('Mapa final'!$H$37="Muy Alta",'Mapa final'!$L$37="Leve"),CONCATENATE("R",'Mapa final'!$A$37),"")</f>
        <v/>
      </c>
      <c r="O8" s="334"/>
      <c r="P8" s="337" t="str">
        <f>IF(AND('Mapa final'!$H$28="Muy Alta",'Mapa final'!$L$28="Menor"),CONCATENATE("R",'Mapa final'!$A$28),"")</f>
        <v/>
      </c>
      <c r="Q8" s="333"/>
      <c r="R8" s="333" t="str">
        <f>IF(AND('Mapa final'!$H$34="Muy Alta",'Mapa final'!$L$34="Menor"),CONCATENATE("R",'Mapa final'!$A$34),"")</f>
        <v/>
      </c>
      <c r="S8" s="333"/>
      <c r="T8" s="333" t="str">
        <f>IF(AND('Mapa final'!$H$37="Muy Alta",'Mapa final'!$L$37="Menor"),CONCATENATE("R",'Mapa final'!$A$37),"")</f>
        <v/>
      </c>
      <c r="U8" s="334"/>
      <c r="V8" s="337" t="str">
        <f>IF(AND('Mapa final'!$H$28="Muy Alta",'Mapa final'!$L$28="Moderado"),CONCATENATE("R",'Mapa final'!$A$28),"")</f>
        <v/>
      </c>
      <c r="W8" s="333"/>
      <c r="X8" s="333" t="str">
        <f>IF(AND('Mapa final'!$H$34="Muy Alta",'Mapa final'!$L$34="Moderado"),CONCATENATE("R",'Mapa final'!$A$34),"")</f>
        <v/>
      </c>
      <c r="Y8" s="333"/>
      <c r="Z8" s="333" t="str">
        <f>IF(AND('Mapa final'!$H$37="Muy Alta",'Mapa final'!$L$37="Moderado"),CONCATENATE("R",'Mapa final'!$A$37),"")</f>
        <v/>
      </c>
      <c r="AA8" s="334"/>
      <c r="AB8" s="337" t="str">
        <f>IF(AND('Mapa final'!$H$28="Muy Alta",'Mapa final'!$L$28="Mayor"),CONCATENATE("R",'Mapa final'!$A$28),"")</f>
        <v/>
      </c>
      <c r="AC8" s="333"/>
      <c r="AD8" s="333" t="str">
        <f>IF(AND('Mapa final'!$H$34="Muy Alta",'Mapa final'!$L$34="Mayor"),CONCATENATE("R",'Mapa final'!$A$34),"")</f>
        <v/>
      </c>
      <c r="AE8" s="333"/>
      <c r="AF8" s="333" t="str">
        <f>IF(AND('Mapa final'!$H$37="Muy Alta",'Mapa final'!$L$37="Mayor"),CONCATENATE("R",'Mapa final'!$A$37),"")</f>
        <v/>
      </c>
      <c r="AG8" s="334"/>
      <c r="AH8" s="344" t="str">
        <f>IF(AND('Mapa final'!$H$28="Muy Alta",'Mapa final'!$L$28="Catastrófico"),CONCATENATE("R",'Mapa final'!$A$28),"")</f>
        <v/>
      </c>
      <c r="AI8" s="345"/>
      <c r="AJ8" s="345" t="str">
        <f>IF(AND('Mapa final'!$H$34="Muy Alta",'Mapa final'!$L$34="Catastrófico"),CONCATENATE("R",'Mapa final'!$A$34),"")</f>
        <v/>
      </c>
      <c r="AK8" s="345"/>
      <c r="AL8" s="345" t="str">
        <f>IF(AND('Mapa final'!$H$37="Muy Alta",'Mapa final'!$L$37="Catastrófico"),CONCATENATE("R",'Mapa final'!$A$37),"")</f>
        <v/>
      </c>
      <c r="AM8" s="346"/>
      <c r="AN8" s="82"/>
      <c r="AO8" s="291"/>
      <c r="AP8" s="292"/>
      <c r="AQ8" s="292"/>
      <c r="AR8" s="292"/>
      <c r="AS8" s="292"/>
      <c r="AT8" s="29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86"/>
      <c r="C9" s="286"/>
      <c r="D9" s="287"/>
      <c r="E9" s="327"/>
      <c r="F9" s="328"/>
      <c r="G9" s="328"/>
      <c r="H9" s="328"/>
      <c r="I9" s="329"/>
      <c r="J9" s="337"/>
      <c r="K9" s="333"/>
      <c r="L9" s="333"/>
      <c r="M9" s="333"/>
      <c r="N9" s="333"/>
      <c r="O9" s="334"/>
      <c r="P9" s="337"/>
      <c r="Q9" s="333"/>
      <c r="R9" s="333"/>
      <c r="S9" s="333"/>
      <c r="T9" s="333"/>
      <c r="U9" s="334"/>
      <c r="V9" s="337"/>
      <c r="W9" s="333"/>
      <c r="X9" s="333"/>
      <c r="Y9" s="333"/>
      <c r="Z9" s="333"/>
      <c r="AA9" s="334"/>
      <c r="AB9" s="337"/>
      <c r="AC9" s="333"/>
      <c r="AD9" s="333"/>
      <c r="AE9" s="333"/>
      <c r="AF9" s="333"/>
      <c r="AG9" s="334"/>
      <c r="AH9" s="344"/>
      <c r="AI9" s="345"/>
      <c r="AJ9" s="345"/>
      <c r="AK9" s="345"/>
      <c r="AL9" s="345"/>
      <c r="AM9" s="346"/>
      <c r="AN9" s="82"/>
      <c r="AO9" s="291"/>
      <c r="AP9" s="292"/>
      <c r="AQ9" s="292"/>
      <c r="AR9" s="292"/>
      <c r="AS9" s="292"/>
      <c r="AT9" s="29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86"/>
      <c r="C10" s="286"/>
      <c r="D10" s="287"/>
      <c r="E10" s="327"/>
      <c r="F10" s="328"/>
      <c r="G10" s="328"/>
      <c r="H10" s="328"/>
      <c r="I10" s="329"/>
      <c r="J10" s="337" t="str">
        <f>IF(AND('Mapa final'!$H$43="Muy Alta",'Mapa final'!$L$43="Leve"),CONCATENATE("R",'Mapa final'!$A$43),"")</f>
        <v/>
      </c>
      <c r="K10" s="333"/>
      <c r="L10" s="333" t="str">
        <f>IF(AND('Mapa final'!$H$49="Muy Alta",'Mapa final'!$L$49="Leve"),CONCATENATE("R",'Mapa final'!$A$49),"")</f>
        <v/>
      </c>
      <c r="M10" s="333"/>
      <c r="N10" s="333" t="str">
        <f>IF(AND('Mapa final'!$H$55="Muy Alta",'Mapa final'!$L$55="Leve"),CONCATENATE("R",'Mapa final'!$A$55),"")</f>
        <v/>
      </c>
      <c r="O10" s="334"/>
      <c r="P10" s="337" t="str">
        <f>IF(AND('Mapa final'!$H$43="Muy Alta",'Mapa final'!$L$43="Menor"),CONCATENATE("R",'Mapa final'!$A$43),"")</f>
        <v/>
      </c>
      <c r="Q10" s="333"/>
      <c r="R10" s="333" t="str">
        <f>IF(AND('Mapa final'!$H$49="Muy Alta",'Mapa final'!$L$49="Menor"),CONCATENATE("R",'Mapa final'!$A$49),"")</f>
        <v/>
      </c>
      <c r="S10" s="333"/>
      <c r="T10" s="333" t="str">
        <f>IF(AND('Mapa final'!$H$55="Muy Alta",'Mapa final'!$L$55="Menor"),CONCATENATE("R",'Mapa final'!$A$55),"")</f>
        <v/>
      </c>
      <c r="U10" s="334"/>
      <c r="V10" s="337" t="str">
        <f>IF(AND('Mapa final'!$H$43="Muy Alta",'Mapa final'!$L$43="Moderado"),CONCATENATE("R",'Mapa final'!$A$43),"")</f>
        <v/>
      </c>
      <c r="W10" s="333"/>
      <c r="X10" s="333" t="str">
        <f>IF(AND('Mapa final'!$H$49="Muy Alta",'Mapa final'!$L$49="Moderado"),CONCATENATE("R",'Mapa final'!$A$49),"")</f>
        <v/>
      </c>
      <c r="Y10" s="333"/>
      <c r="Z10" s="333" t="str">
        <f>IF(AND('Mapa final'!$H$55="Muy Alta",'Mapa final'!$L$55="Moderado"),CONCATENATE("R",'Mapa final'!$A$55),"")</f>
        <v/>
      </c>
      <c r="AA10" s="334"/>
      <c r="AB10" s="337" t="str">
        <f>IF(AND('Mapa final'!$H$43="Muy Alta",'Mapa final'!$L$43="Mayor"),CONCATENATE("R",'Mapa final'!$A$43),"")</f>
        <v/>
      </c>
      <c r="AC10" s="333"/>
      <c r="AD10" s="333" t="str">
        <f>IF(AND('Mapa final'!$H$49="Muy Alta",'Mapa final'!$L$49="Mayor"),CONCATENATE("R",'Mapa final'!$A$49),"")</f>
        <v/>
      </c>
      <c r="AE10" s="333"/>
      <c r="AF10" s="333" t="str">
        <f>IF(AND('Mapa final'!$H$55="Muy Alta",'Mapa final'!$L$55="Mayor"),CONCATENATE("R",'Mapa final'!$A$55),"")</f>
        <v/>
      </c>
      <c r="AG10" s="334"/>
      <c r="AH10" s="344" t="str">
        <f>IF(AND('Mapa final'!$H$43="Muy Alta",'Mapa final'!$L$43="Catastrófico"),CONCATENATE("R",'Mapa final'!$A$43),"")</f>
        <v/>
      </c>
      <c r="AI10" s="345"/>
      <c r="AJ10" s="345" t="str">
        <f>IF(AND('Mapa final'!$H$49="Muy Alta",'Mapa final'!$L$49="Catastrófico"),CONCATENATE("R",'Mapa final'!$A$49),"")</f>
        <v/>
      </c>
      <c r="AK10" s="345"/>
      <c r="AL10" s="345" t="str">
        <f>IF(AND('Mapa final'!$H$55="Muy Alta",'Mapa final'!$L$55="Catastrófico"),CONCATENATE("R",'Mapa final'!$A$55),"")</f>
        <v/>
      </c>
      <c r="AM10" s="346"/>
      <c r="AN10" s="82"/>
      <c r="AO10" s="291"/>
      <c r="AP10" s="292"/>
      <c r="AQ10" s="292"/>
      <c r="AR10" s="292"/>
      <c r="AS10" s="292"/>
      <c r="AT10" s="29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86"/>
      <c r="C11" s="286"/>
      <c r="D11" s="287"/>
      <c r="E11" s="327"/>
      <c r="F11" s="328"/>
      <c r="G11" s="328"/>
      <c r="H11" s="328"/>
      <c r="I11" s="329"/>
      <c r="J11" s="337"/>
      <c r="K11" s="333"/>
      <c r="L11" s="333"/>
      <c r="M11" s="333"/>
      <c r="N11" s="333"/>
      <c r="O11" s="334"/>
      <c r="P11" s="337"/>
      <c r="Q11" s="333"/>
      <c r="R11" s="333"/>
      <c r="S11" s="333"/>
      <c r="T11" s="333"/>
      <c r="U11" s="334"/>
      <c r="V11" s="337"/>
      <c r="W11" s="333"/>
      <c r="X11" s="333"/>
      <c r="Y11" s="333"/>
      <c r="Z11" s="333"/>
      <c r="AA11" s="334"/>
      <c r="AB11" s="337"/>
      <c r="AC11" s="333"/>
      <c r="AD11" s="333"/>
      <c r="AE11" s="333"/>
      <c r="AF11" s="333"/>
      <c r="AG11" s="334"/>
      <c r="AH11" s="344"/>
      <c r="AI11" s="345"/>
      <c r="AJ11" s="345"/>
      <c r="AK11" s="345"/>
      <c r="AL11" s="345"/>
      <c r="AM11" s="346"/>
      <c r="AN11" s="82"/>
      <c r="AO11" s="291"/>
      <c r="AP11" s="292"/>
      <c r="AQ11" s="292"/>
      <c r="AR11" s="292"/>
      <c r="AS11" s="292"/>
      <c r="AT11" s="29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86"/>
      <c r="C12" s="286"/>
      <c r="D12" s="287"/>
      <c r="E12" s="327"/>
      <c r="F12" s="328"/>
      <c r="G12" s="328"/>
      <c r="H12" s="328"/>
      <c r="I12" s="329"/>
      <c r="J12" s="337" t="str">
        <f>IF(AND('Mapa final'!$H$61="Muy Alta",'Mapa final'!$L$61="Leve"),CONCATENATE("R",'Mapa final'!$A$61),"")</f>
        <v/>
      </c>
      <c r="K12" s="333"/>
      <c r="L12" s="333" t="str">
        <f>IF(AND('Mapa final'!$H$67="Muy Alta",'Mapa final'!$L$67="Leve"),CONCATENATE("R",'Mapa final'!$A$67),"")</f>
        <v/>
      </c>
      <c r="M12" s="333"/>
      <c r="N12" s="333" t="str">
        <f>IF(AND('Mapa final'!$H$73="Muy Alta",'Mapa final'!$L$73="Leve"),CONCATENATE("R",'Mapa final'!$A$73),"")</f>
        <v/>
      </c>
      <c r="O12" s="334"/>
      <c r="P12" s="337" t="str">
        <f>IF(AND('Mapa final'!$H$61="Muy Alta",'Mapa final'!$L$61="Menor"),CONCATENATE("R",'Mapa final'!$A$61),"")</f>
        <v/>
      </c>
      <c r="Q12" s="333"/>
      <c r="R12" s="333" t="str">
        <f>IF(AND('Mapa final'!$H$67="Muy Alta",'Mapa final'!$L$67="Menor"),CONCATENATE("R",'Mapa final'!$A$67),"")</f>
        <v/>
      </c>
      <c r="S12" s="333"/>
      <c r="T12" s="333" t="str">
        <f>IF(AND('Mapa final'!$H$73="Muy Alta",'Mapa final'!$L$73="Menor"),CONCATENATE("R",'Mapa final'!$A$73),"")</f>
        <v/>
      </c>
      <c r="U12" s="334"/>
      <c r="V12" s="337" t="str">
        <f>IF(AND('Mapa final'!$H$61="Muy Alta",'Mapa final'!$L$61="Moderado"),CONCATENATE("R",'Mapa final'!$A$61),"")</f>
        <v/>
      </c>
      <c r="W12" s="333"/>
      <c r="X12" s="333" t="str">
        <f>IF(AND('Mapa final'!$H$67="Muy Alta",'Mapa final'!$L$67="Moderado"),CONCATENATE("R",'Mapa final'!$A$67),"")</f>
        <v/>
      </c>
      <c r="Y12" s="333"/>
      <c r="Z12" s="333" t="str">
        <f>IF(AND('Mapa final'!$H$73="Muy Alta",'Mapa final'!$L$73="Moderado"),CONCATENATE("R",'Mapa final'!$A$73),"")</f>
        <v/>
      </c>
      <c r="AA12" s="334"/>
      <c r="AB12" s="337" t="str">
        <f>IF(AND('Mapa final'!$H$61="Muy Alta",'Mapa final'!$L$61="Mayor"),CONCATENATE("R",'Mapa final'!$A$61),"")</f>
        <v/>
      </c>
      <c r="AC12" s="333"/>
      <c r="AD12" s="333" t="str">
        <f>IF(AND('Mapa final'!$H$67="Muy Alta",'Mapa final'!$L$67="Mayor"),CONCATENATE("R",'Mapa final'!$A$67),"")</f>
        <v/>
      </c>
      <c r="AE12" s="333"/>
      <c r="AF12" s="333" t="str">
        <f>IF(AND('Mapa final'!$H$73="Muy Alta",'Mapa final'!$L$73="Mayor"),CONCATENATE("R",'Mapa final'!$A$73),"")</f>
        <v/>
      </c>
      <c r="AG12" s="334"/>
      <c r="AH12" s="344" t="str">
        <f>IF(AND('Mapa final'!$H$61="Muy Alta",'Mapa final'!$L$61="Catastrófico"),CONCATENATE("R",'Mapa final'!$A$61),"")</f>
        <v/>
      </c>
      <c r="AI12" s="345"/>
      <c r="AJ12" s="345" t="str">
        <f>IF(AND('Mapa final'!$H$67="Muy Alta",'Mapa final'!$L$67="Catastrófico"),CONCATENATE("R",'Mapa final'!$A$67),"")</f>
        <v/>
      </c>
      <c r="AK12" s="345"/>
      <c r="AL12" s="345" t="str">
        <f>IF(AND('Mapa final'!$H$73="Muy Alta",'Mapa final'!$L$73="Catastrófico"),CONCATENATE("R",'Mapa final'!$A$73),"")</f>
        <v/>
      </c>
      <c r="AM12" s="346"/>
      <c r="AN12" s="82"/>
      <c r="AO12" s="291"/>
      <c r="AP12" s="292"/>
      <c r="AQ12" s="292"/>
      <c r="AR12" s="292"/>
      <c r="AS12" s="292"/>
      <c r="AT12" s="29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86"/>
      <c r="C13" s="286"/>
      <c r="D13" s="287"/>
      <c r="E13" s="330"/>
      <c r="F13" s="331"/>
      <c r="G13" s="331"/>
      <c r="H13" s="331"/>
      <c r="I13" s="332"/>
      <c r="J13" s="337"/>
      <c r="K13" s="333"/>
      <c r="L13" s="333"/>
      <c r="M13" s="333"/>
      <c r="N13" s="333"/>
      <c r="O13" s="334"/>
      <c r="P13" s="337"/>
      <c r="Q13" s="333"/>
      <c r="R13" s="333"/>
      <c r="S13" s="333"/>
      <c r="T13" s="333"/>
      <c r="U13" s="334"/>
      <c r="V13" s="337"/>
      <c r="W13" s="333"/>
      <c r="X13" s="333"/>
      <c r="Y13" s="333"/>
      <c r="Z13" s="333"/>
      <c r="AA13" s="334"/>
      <c r="AB13" s="337"/>
      <c r="AC13" s="333"/>
      <c r="AD13" s="333"/>
      <c r="AE13" s="333"/>
      <c r="AF13" s="333"/>
      <c r="AG13" s="334"/>
      <c r="AH13" s="347"/>
      <c r="AI13" s="348"/>
      <c r="AJ13" s="348"/>
      <c r="AK13" s="348"/>
      <c r="AL13" s="348"/>
      <c r="AM13" s="349"/>
      <c r="AN13" s="82"/>
      <c r="AO13" s="294"/>
      <c r="AP13" s="295"/>
      <c r="AQ13" s="295"/>
      <c r="AR13" s="295"/>
      <c r="AS13" s="295"/>
      <c r="AT13" s="29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86"/>
      <c r="C14" s="286"/>
      <c r="D14" s="287"/>
      <c r="E14" s="324" t="s">
        <v>114</v>
      </c>
      <c r="F14" s="325"/>
      <c r="G14" s="325"/>
      <c r="H14" s="325"/>
      <c r="I14" s="325"/>
      <c r="J14" s="359" t="str">
        <f>IF(AND('Mapa final'!$H$10="Alta",'Mapa final'!$L$10="Leve"),CONCATENATE("R",'Mapa final'!$A$10),"")</f>
        <v/>
      </c>
      <c r="K14" s="360"/>
      <c r="L14" s="360" t="str">
        <f>IF(AND('Mapa final'!$H$16="Alta",'Mapa final'!$L$16="Leve"),CONCATENATE("R",'Mapa final'!$A$16),"")</f>
        <v/>
      </c>
      <c r="M14" s="360"/>
      <c r="N14" s="360" t="str">
        <f>IF(AND('Mapa final'!$H$22="Alta",'Mapa final'!$L$22="Leve"),CONCATENATE("R",'Mapa final'!$A$22),"")</f>
        <v/>
      </c>
      <c r="O14" s="361"/>
      <c r="P14" s="359" t="str">
        <f>IF(AND('Mapa final'!$H$10="Alta",'Mapa final'!$L$10="Menor"),CONCATENATE("R",'Mapa final'!$A$10),"")</f>
        <v/>
      </c>
      <c r="Q14" s="360"/>
      <c r="R14" s="360" t="str">
        <f>IF(AND('Mapa final'!$H$16="Alta",'Mapa final'!$L$16="Menor"),CONCATENATE("R",'Mapa final'!$A$16),"")</f>
        <v/>
      </c>
      <c r="S14" s="360"/>
      <c r="T14" s="360" t="str">
        <f>IF(AND('Mapa final'!$H$22="Alta",'Mapa final'!$L$22="Menor"),CONCATENATE("R",'Mapa final'!$A$22),"")</f>
        <v/>
      </c>
      <c r="U14" s="361"/>
      <c r="V14" s="335" t="str">
        <f>IF(AND('Mapa final'!$H$10="Alta",'Mapa final'!$L$10="Moderado"),CONCATENATE("R",'Mapa final'!$A$10),"")</f>
        <v/>
      </c>
      <c r="W14" s="336"/>
      <c r="X14" s="336" t="str">
        <f>IF(AND('Mapa final'!$H$16="Alta",'Mapa final'!$L$16="Moderado"),CONCATENATE("R",'Mapa final'!$A$16),"")</f>
        <v>R2</v>
      </c>
      <c r="Y14" s="336"/>
      <c r="Z14" s="336" t="str">
        <f>IF(AND('Mapa final'!$H$22="Alta",'Mapa final'!$L$22="Moderado"),CONCATENATE("R",'Mapa final'!$A$22),"")</f>
        <v/>
      </c>
      <c r="AA14" s="338"/>
      <c r="AB14" s="335" t="str">
        <f>IF(AND('Mapa final'!$H$10="Alta",'Mapa final'!$L$10="Mayor"),CONCATENATE("R",'Mapa final'!$A$10),"")</f>
        <v/>
      </c>
      <c r="AC14" s="336"/>
      <c r="AD14" s="336" t="str">
        <f>IF(AND('Mapa final'!$H$16="Alta",'Mapa final'!$L$16="Mayor"),CONCATENATE("R",'Mapa final'!$A$16),"")</f>
        <v/>
      </c>
      <c r="AE14" s="336"/>
      <c r="AF14" s="336" t="str">
        <f>IF(AND('Mapa final'!$H$22="Alta",'Mapa final'!$L$22="Mayor"),CONCATENATE("R",'Mapa final'!$A$22),"")</f>
        <v/>
      </c>
      <c r="AG14" s="338"/>
      <c r="AH14" s="350" t="str">
        <f>IF(AND('Mapa final'!$H$10="Alta",'Mapa final'!$L$10="Catastrófico"),CONCATENATE("R",'Mapa final'!$A$10),"")</f>
        <v/>
      </c>
      <c r="AI14" s="351"/>
      <c r="AJ14" s="351" t="str">
        <f>IF(AND('Mapa final'!$H$16="Alta",'Mapa final'!$L$16="Catastrófico"),CONCATENATE("R",'Mapa final'!$A$16),"")</f>
        <v/>
      </c>
      <c r="AK14" s="351"/>
      <c r="AL14" s="351" t="str">
        <f>IF(AND('Mapa final'!$H$22="Alta",'Mapa final'!$L$22="Catastrófico"),CONCATENATE("R",'Mapa final'!$A$22),"")</f>
        <v/>
      </c>
      <c r="AM14" s="352"/>
      <c r="AN14" s="82"/>
      <c r="AO14" s="297" t="s">
        <v>79</v>
      </c>
      <c r="AP14" s="298"/>
      <c r="AQ14" s="298"/>
      <c r="AR14" s="298"/>
      <c r="AS14" s="298"/>
      <c r="AT14" s="29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86"/>
      <c r="C15" s="286"/>
      <c r="D15" s="287"/>
      <c r="E15" s="327"/>
      <c r="F15" s="328"/>
      <c r="G15" s="328"/>
      <c r="H15" s="328"/>
      <c r="I15" s="328"/>
      <c r="J15" s="353"/>
      <c r="K15" s="354"/>
      <c r="L15" s="354"/>
      <c r="M15" s="354"/>
      <c r="N15" s="354"/>
      <c r="O15" s="355"/>
      <c r="P15" s="353"/>
      <c r="Q15" s="354"/>
      <c r="R15" s="354"/>
      <c r="S15" s="354"/>
      <c r="T15" s="354"/>
      <c r="U15" s="355"/>
      <c r="V15" s="337"/>
      <c r="W15" s="333"/>
      <c r="X15" s="333"/>
      <c r="Y15" s="333"/>
      <c r="Z15" s="333"/>
      <c r="AA15" s="334"/>
      <c r="AB15" s="337"/>
      <c r="AC15" s="333"/>
      <c r="AD15" s="333"/>
      <c r="AE15" s="333"/>
      <c r="AF15" s="333"/>
      <c r="AG15" s="334"/>
      <c r="AH15" s="344"/>
      <c r="AI15" s="345"/>
      <c r="AJ15" s="345"/>
      <c r="AK15" s="345"/>
      <c r="AL15" s="345"/>
      <c r="AM15" s="346"/>
      <c r="AN15" s="82"/>
      <c r="AO15" s="300"/>
      <c r="AP15" s="301"/>
      <c r="AQ15" s="301"/>
      <c r="AR15" s="301"/>
      <c r="AS15" s="301"/>
      <c r="AT15" s="30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86"/>
      <c r="C16" s="286"/>
      <c r="D16" s="287"/>
      <c r="E16" s="327"/>
      <c r="F16" s="328"/>
      <c r="G16" s="328"/>
      <c r="H16" s="328"/>
      <c r="I16" s="328"/>
      <c r="J16" s="353" t="str">
        <f>IF(AND('Mapa final'!$H$28="Alta",'Mapa final'!$L$28="Leve"),CONCATENATE("R",'Mapa final'!$A$28),"")</f>
        <v/>
      </c>
      <c r="K16" s="354"/>
      <c r="L16" s="354" t="str">
        <f>IF(AND('Mapa final'!$H$34="Alta",'Mapa final'!$L$34="Leve"),CONCATENATE("R",'Mapa final'!$A$34),"")</f>
        <v/>
      </c>
      <c r="M16" s="354"/>
      <c r="N16" s="354" t="str">
        <f>IF(AND('Mapa final'!$H$37="Alta",'Mapa final'!$L$37="Leve"),CONCATENATE("R",'Mapa final'!$A$37),"")</f>
        <v/>
      </c>
      <c r="O16" s="355"/>
      <c r="P16" s="353" t="str">
        <f>IF(AND('Mapa final'!$H$28="Alta",'Mapa final'!$L$28="Menor"),CONCATENATE("R",'Mapa final'!$A$28),"")</f>
        <v>R4</v>
      </c>
      <c r="Q16" s="354"/>
      <c r="R16" s="354" t="str">
        <f>IF(AND('Mapa final'!$H$34="Alta",'Mapa final'!$L$34="Menor"),CONCATENATE("R",'Mapa final'!$A$34),"")</f>
        <v>R5</v>
      </c>
      <c r="S16" s="354"/>
      <c r="T16" s="354" t="str">
        <f>IF(AND('Mapa final'!$H$37="Alta",'Mapa final'!$L$37="Menor"),CONCATENATE("R",'Mapa final'!$A$37),"")</f>
        <v/>
      </c>
      <c r="U16" s="355"/>
      <c r="V16" s="337" t="str">
        <f>IF(AND('Mapa final'!$H$28="Alta",'Mapa final'!$L$28="Moderado"),CONCATENATE("R",'Mapa final'!$A$28),"")</f>
        <v/>
      </c>
      <c r="W16" s="333"/>
      <c r="X16" s="333" t="str">
        <f>IF(AND('Mapa final'!$H$34="Alta",'Mapa final'!$L$34="Moderado"),CONCATENATE("R",'Mapa final'!$A$34),"")</f>
        <v/>
      </c>
      <c r="Y16" s="333"/>
      <c r="Z16" s="333" t="str">
        <f>IF(AND('Mapa final'!$H$37="Alta",'Mapa final'!$L$37="Moderado"),CONCATENATE("R",'Mapa final'!$A$37),"")</f>
        <v/>
      </c>
      <c r="AA16" s="334"/>
      <c r="AB16" s="337" t="str">
        <f>IF(AND('Mapa final'!$H$28="Alta",'Mapa final'!$L$28="Mayor"),CONCATENATE("R",'Mapa final'!$A$28),"")</f>
        <v/>
      </c>
      <c r="AC16" s="333"/>
      <c r="AD16" s="333" t="str">
        <f>IF(AND('Mapa final'!$H$34="Alta",'Mapa final'!$L$34="Mayor"),CONCATENATE("R",'Mapa final'!$A$34),"")</f>
        <v/>
      </c>
      <c r="AE16" s="333"/>
      <c r="AF16" s="333" t="str">
        <f>IF(AND('Mapa final'!$H$37="Alta",'Mapa final'!$L$37="Mayor"),CONCATENATE("R",'Mapa final'!$A$37),"")</f>
        <v/>
      </c>
      <c r="AG16" s="334"/>
      <c r="AH16" s="344" t="str">
        <f>IF(AND('Mapa final'!$H$28="Alta",'Mapa final'!$L$28="Catastrófico"),CONCATENATE("R",'Mapa final'!$A$28),"")</f>
        <v/>
      </c>
      <c r="AI16" s="345"/>
      <c r="AJ16" s="345" t="str">
        <f>IF(AND('Mapa final'!$H$34="Alta",'Mapa final'!$L$34="Catastrófico"),CONCATENATE("R",'Mapa final'!$A$34),"")</f>
        <v/>
      </c>
      <c r="AK16" s="345"/>
      <c r="AL16" s="345" t="str">
        <f>IF(AND('Mapa final'!$H$37="Alta",'Mapa final'!$L$37="Catastrófico"),CONCATENATE("R",'Mapa final'!$A$37),"")</f>
        <v/>
      </c>
      <c r="AM16" s="346"/>
      <c r="AN16" s="82"/>
      <c r="AO16" s="300"/>
      <c r="AP16" s="301"/>
      <c r="AQ16" s="301"/>
      <c r="AR16" s="301"/>
      <c r="AS16" s="301"/>
      <c r="AT16" s="30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86"/>
      <c r="C17" s="286"/>
      <c r="D17" s="287"/>
      <c r="E17" s="327"/>
      <c r="F17" s="328"/>
      <c r="G17" s="328"/>
      <c r="H17" s="328"/>
      <c r="I17" s="328"/>
      <c r="J17" s="353"/>
      <c r="K17" s="354"/>
      <c r="L17" s="354"/>
      <c r="M17" s="354"/>
      <c r="N17" s="354"/>
      <c r="O17" s="355"/>
      <c r="P17" s="353"/>
      <c r="Q17" s="354"/>
      <c r="R17" s="354"/>
      <c r="S17" s="354"/>
      <c r="T17" s="354"/>
      <c r="U17" s="355"/>
      <c r="V17" s="337"/>
      <c r="W17" s="333"/>
      <c r="X17" s="333"/>
      <c r="Y17" s="333"/>
      <c r="Z17" s="333"/>
      <c r="AA17" s="334"/>
      <c r="AB17" s="337"/>
      <c r="AC17" s="333"/>
      <c r="AD17" s="333"/>
      <c r="AE17" s="333"/>
      <c r="AF17" s="333"/>
      <c r="AG17" s="334"/>
      <c r="AH17" s="344"/>
      <c r="AI17" s="345"/>
      <c r="AJ17" s="345"/>
      <c r="AK17" s="345"/>
      <c r="AL17" s="345"/>
      <c r="AM17" s="346"/>
      <c r="AN17" s="82"/>
      <c r="AO17" s="300"/>
      <c r="AP17" s="301"/>
      <c r="AQ17" s="301"/>
      <c r="AR17" s="301"/>
      <c r="AS17" s="301"/>
      <c r="AT17" s="30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86"/>
      <c r="C18" s="286"/>
      <c r="D18" s="287"/>
      <c r="E18" s="327"/>
      <c r="F18" s="328"/>
      <c r="G18" s="328"/>
      <c r="H18" s="328"/>
      <c r="I18" s="328"/>
      <c r="J18" s="353" t="str">
        <f>IF(AND('Mapa final'!$H$43="Alta",'Mapa final'!$L$43="Leve"),CONCATENATE("R",'Mapa final'!$A$43),"")</f>
        <v/>
      </c>
      <c r="K18" s="354"/>
      <c r="L18" s="354" t="str">
        <f>IF(AND('Mapa final'!$H$49="Alta",'Mapa final'!$L$49="Leve"),CONCATENATE("R",'Mapa final'!$A$49),"")</f>
        <v/>
      </c>
      <c r="M18" s="354"/>
      <c r="N18" s="354" t="str">
        <f>IF(AND('Mapa final'!$H$55="Alta",'Mapa final'!$L$55="Leve"),CONCATENATE("R",'Mapa final'!$A$55),"")</f>
        <v/>
      </c>
      <c r="O18" s="355"/>
      <c r="P18" s="353" t="str">
        <f>IF(AND('Mapa final'!$H$43="Alta",'Mapa final'!$L$43="Menor"),CONCATENATE("R",'Mapa final'!$A$43),"")</f>
        <v/>
      </c>
      <c r="Q18" s="354"/>
      <c r="R18" s="354" t="str">
        <f>IF(AND('Mapa final'!$H$49="Alta",'Mapa final'!$L$49="Menor"),CONCATENATE("R",'Mapa final'!$A$49),"")</f>
        <v/>
      </c>
      <c r="S18" s="354"/>
      <c r="T18" s="354" t="str">
        <f>IF(AND('Mapa final'!$H$55="Alta",'Mapa final'!$L$55="Menor"),CONCATENATE("R",'Mapa final'!$A$55),"")</f>
        <v/>
      </c>
      <c r="U18" s="355"/>
      <c r="V18" s="337" t="str">
        <f>IF(AND('Mapa final'!$H$43="Alta",'Mapa final'!$L$43="Moderado"),CONCATENATE("R",'Mapa final'!$A$43),"")</f>
        <v/>
      </c>
      <c r="W18" s="333"/>
      <c r="X18" s="333" t="str">
        <f>IF(AND('Mapa final'!$H$49="Alta",'Mapa final'!$L$49="Moderado"),CONCATENATE("R",'Mapa final'!$A$49),"")</f>
        <v/>
      </c>
      <c r="Y18" s="333"/>
      <c r="Z18" s="333" t="str">
        <f>IF(AND('Mapa final'!$H$55="Alta",'Mapa final'!$L$55="Moderado"),CONCATENATE("R",'Mapa final'!$A$55),"")</f>
        <v/>
      </c>
      <c r="AA18" s="334"/>
      <c r="AB18" s="337" t="str">
        <f>IF(AND('Mapa final'!$H$43="Alta",'Mapa final'!$L$43="Mayor"),CONCATENATE("R",'Mapa final'!$A$43),"")</f>
        <v/>
      </c>
      <c r="AC18" s="333"/>
      <c r="AD18" s="333" t="str">
        <f>IF(AND('Mapa final'!$H$49="Alta",'Mapa final'!$L$49="Mayor"),CONCATENATE("R",'Mapa final'!$A$49),"")</f>
        <v/>
      </c>
      <c r="AE18" s="333"/>
      <c r="AF18" s="333" t="str">
        <f>IF(AND('Mapa final'!$H$55="Alta",'Mapa final'!$L$55="Mayor"),CONCATENATE("R",'Mapa final'!$A$55),"")</f>
        <v/>
      </c>
      <c r="AG18" s="334"/>
      <c r="AH18" s="344" t="str">
        <f>IF(AND('Mapa final'!$H$43="Alta",'Mapa final'!$L$43="Catastrófico"),CONCATENATE("R",'Mapa final'!$A$43),"")</f>
        <v/>
      </c>
      <c r="AI18" s="345"/>
      <c r="AJ18" s="345" t="str">
        <f>IF(AND('Mapa final'!$H$49="Alta",'Mapa final'!$L$49="Catastrófico"),CONCATENATE("R",'Mapa final'!$A$49),"")</f>
        <v/>
      </c>
      <c r="AK18" s="345"/>
      <c r="AL18" s="345" t="str">
        <f>IF(AND('Mapa final'!$H$55="Alta",'Mapa final'!$L$55="Catastrófico"),CONCATENATE("R",'Mapa final'!$A$55),"")</f>
        <v/>
      </c>
      <c r="AM18" s="346"/>
      <c r="AN18" s="82"/>
      <c r="AO18" s="300"/>
      <c r="AP18" s="301"/>
      <c r="AQ18" s="301"/>
      <c r="AR18" s="301"/>
      <c r="AS18" s="301"/>
      <c r="AT18" s="30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86"/>
      <c r="C19" s="286"/>
      <c r="D19" s="287"/>
      <c r="E19" s="327"/>
      <c r="F19" s="328"/>
      <c r="G19" s="328"/>
      <c r="H19" s="328"/>
      <c r="I19" s="328"/>
      <c r="J19" s="353"/>
      <c r="K19" s="354"/>
      <c r="L19" s="354"/>
      <c r="M19" s="354"/>
      <c r="N19" s="354"/>
      <c r="O19" s="355"/>
      <c r="P19" s="353"/>
      <c r="Q19" s="354"/>
      <c r="R19" s="354"/>
      <c r="S19" s="354"/>
      <c r="T19" s="354"/>
      <c r="U19" s="355"/>
      <c r="V19" s="337"/>
      <c r="W19" s="333"/>
      <c r="X19" s="333"/>
      <c r="Y19" s="333"/>
      <c r="Z19" s="333"/>
      <c r="AA19" s="334"/>
      <c r="AB19" s="337"/>
      <c r="AC19" s="333"/>
      <c r="AD19" s="333"/>
      <c r="AE19" s="333"/>
      <c r="AF19" s="333"/>
      <c r="AG19" s="334"/>
      <c r="AH19" s="344"/>
      <c r="AI19" s="345"/>
      <c r="AJ19" s="345"/>
      <c r="AK19" s="345"/>
      <c r="AL19" s="345"/>
      <c r="AM19" s="346"/>
      <c r="AN19" s="82"/>
      <c r="AO19" s="300"/>
      <c r="AP19" s="301"/>
      <c r="AQ19" s="301"/>
      <c r="AR19" s="301"/>
      <c r="AS19" s="301"/>
      <c r="AT19" s="30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86"/>
      <c r="C20" s="286"/>
      <c r="D20" s="287"/>
      <c r="E20" s="327"/>
      <c r="F20" s="328"/>
      <c r="G20" s="328"/>
      <c r="H20" s="328"/>
      <c r="I20" s="328"/>
      <c r="J20" s="353" t="str">
        <f>IF(AND('Mapa final'!$H$61="Alta",'Mapa final'!$L$61="Leve"),CONCATENATE("R",'Mapa final'!$A$61),"")</f>
        <v/>
      </c>
      <c r="K20" s="354"/>
      <c r="L20" s="354" t="str">
        <f>IF(AND('Mapa final'!$H$67="Alta",'Mapa final'!$L$67="Leve"),CONCATENATE("R",'Mapa final'!$A$67),"")</f>
        <v/>
      </c>
      <c r="M20" s="354"/>
      <c r="N20" s="354" t="str">
        <f>IF(AND('Mapa final'!$H$73="Alta",'Mapa final'!$L$73="Leve"),CONCATENATE("R",'Mapa final'!$A$73),"")</f>
        <v/>
      </c>
      <c r="O20" s="355"/>
      <c r="P20" s="353" t="str">
        <f>IF(AND('Mapa final'!$H$61="Alta",'Mapa final'!$L$61="Menor"),CONCATENATE("R",'Mapa final'!$A$61),"")</f>
        <v/>
      </c>
      <c r="Q20" s="354"/>
      <c r="R20" s="354" t="str">
        <f>IF(AND('Mapa final'!$H$67="Alta",'Mapa final'!$L$67="Menor"),CONCATENATE("R",'Mapa final'!$A$67),"")</f>
        <v/>
      </c>
      <c r="S20" s="354"/>
      <c r="T20" s="354" t="str">
        <f>IF(AND('Mapa final'!$H$73="Alta",'Mapa final'!$L$73="Menor"),CONCATENATE("R",'Mapa final'!$A$73),"")</f>
        <v/>
      </c>
      <c r="U20" s="355"/>
      <c r="V20" s="337" t="str">
        <f>IF(AND('Mapa final'!$H$61="Alta",'Mapa final'!$L$61="Moderado"),CONCATENATE("R",'Mapa final'!$A$61),"")</f>
        <v/>
      </c>
      <c r="W20" s="333"/>
      <c r="X20" s="333" t="str">
        <f>IF(AND('Mapa final'!$H$67="Alta",'Mapa final'!$L$67="Moderado"),CONCATENATE("R",'Mapa final'!$A$67),"")</f>
        <v/>
      </c>
      <c r="Y20" s="333"/>
      <c r="Z20" s="333" t="str">
        <f>IF(AND('Mapa final'!$H$73="Alta",'Mapa final'!$L$73="Moderado"),CONCATENATE("R",'Mapa final'!$A$73),"")</f>
        <v/>
      </c>
      <c r="AA20" s="334"/>
      <c r="AB20" s="337" t="str">
        <f>IF(AND('Mapa final'!$H$61="Alta",'Mapa final'!$L$61="Mayor"),CONCATENATE("R",'Mapa final'!$A$61),"")</f>
        <v/>
      </c>
      <c r="AC20" s="333"/>
      <c r="AD20" s="333" t="str">
        <f>IF(AND('Mapa final'!$H$67="Alta",'Mapa final'!$L$67="Mayor"),CONCATENATE("R",'Mapa final'!$A$67),"")</f>
        <v/>
      </c>
      <c r="AE20" s="333"/>
      <c r="AF20" s="333" t="str">
        <f>IF(AND('Mapa final'!$H$73="Alta",'Mapa final'!$L$73="Mayor"),CONCATENATE("R",'Mapa final'!$A$73),"")</f>
        <v/>
      </c>
      <c r="AG20" s="334"/>
      <c r="AH20" s="344" t="str">
        <f>IF(AND('Mapa final'!$H$61="Alta",'Mapa final'!$L$61="Catastrófico"),CONCATENATE("R",'Mapa final'!$A$61),"")</f>
        <v/>
      </c>
      <c r="AI20" s="345"/>
      <c r="AJ20" s="345" t="str">
        <f>IF(AND('Mapa final'!$H$67="Alta",'Mapa final'!$L$67="Catastrófico"),CONCATENATE("R",'Mapa final'!$A$67),"")</f>
        <v/>
      </c>
      <c r="AK20" s="345"/>
      <c r="AL20" s="345" t="str">
        <f>IF(AND('Mapa final'!$H$73="Alta",'Mapa final'!$L$73="Catastrófico"),CONCATENATE("R",'Mapa final'!$A$73),"")</f>
        <v/>
      </c>
      <c r="AM20" s="346"/>
      <c r="AN20" s="82"/>
      <c r="AO20" s="300"/>
      <c r="AP20" s="301"/>
      <c r="AQ20" s="301"/>
      <c r="AR20" s="301"/>
      <c r="AS20" s="301"/>
      <c r="AT20" s="30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86"/>
      <c r="C21" s="286"/>
      <c r="D21" s="287"/>
      <c r="E21" s="330"/>
      <c r="F21" s="331"/>
      <c r="G21" s="331"/>
      <c r="H21" s="331"/>
      <c r="I21" s="331"/>
      <c r="J21" s="356"/>
      <c r="K21" s="357"/>
      <c r="L21" s="357"/>
      <c r="M21" s="357"/>
      <c r="N21" s="357"/>
      <c r="O21" s="358"/>
      <c r="P21" s="356"/>
      <c r="Q21" s="357"/>
      <c r="R21" s="357"/>
      <c r="S21" s="357"/>
      <c r="T21" s="357"/>
      <c r="U21" s="358"/>
      <c r="V21" s="341"/>
      <c r="W21" s="342"/>
      <c r="X21" s="342"/>
      <c r="Y21" s="342"/>
      <c r="Z21" s="342"/>
      <c r="AA21" s="343"/>
      <c r="AB21" s="341"/>
      <c r="AC21" s="342"/>
      <c r="AD21" s="342"/>
      <c r="AE21" s="342"/>
      <c r="AF21" s="342"/>
      <c r="AG21" s="343"/>
      <c r="AH21" s="347"/>
      <c r="AI21" s="348"/>
      <c r="AJ21" s="348"/>
      <c r="AK21" s="348"/>
      <c r="AL21" s="348"/>
      <c r="AM21" s="349"/>
      <c r="AN21" s="82"/>
      <c r="AO21" s="303"/>
      <c r="AP21" s="304"/>
      <c r="AQ21" s="304"/>
      <c r="AR21" s="304"/>
      <c r="AS21" s="304"/>
      <c r="AT21" s="30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86"/>
      <c r="C22" s="286"/>
      <c r="D22" s="287"/>
      <c r="E22" s="324" t="s">
        <v>116</v>
      </c>
      <c r="F22" s="325"/>
      <c r="G22" s="325"/>
      <c r="H22" s="325"/>
      <c r="I22" s="326"/>
      <c r="J22" s="359" t="str">
        <f>IF(AND('Mapa final'!$H$10="Media",'Mapa final'!$L$10="Leve"),CONCATENATE("R",'Mapa final'!$A$10),"")</f>
        <v/>
      </c>
      <c r="K22" s="360"/>
      <c r="L22" s="360" t="str">
        <f>IF(AND('Mapa final'!$H$16="Media",'Mapa final'!$L$16="Leve"),CONCATENATE("R",'Mapa final'!$A$16),"")</f>
        <v/>
      </c>
      <c r="M22" s="360"/>
      <c r="N22" s="360" t="str">
        <f>IF(AND('Mapa final'!$H$22="Media",'Mapa final'!$L$22="Leve"),CONCATENATE("R",'Mapa final'!$A$22),"")</f>
        <v/>
      </c>
      <c r="O22" s="361"/>
      <c r="P22" s="359" t="str">
        <f>IF(AND('Mapa final'!$H$10="Media",'Mapa final'!$L$10="Menor"),CONCATENATE("R",'Mapa final'!$A$10),"")</f>
        <v/>
      </c>
      <c r="Q22" s="360"/>
      <c r="R22" s="360" t="str">
        <f>IF(AND('Mapa final'!$H$16="Media",'Mapa final'!$L$16="Menor"),CONCATENATE("R",'Mapa final'!$A$16),"")</f>
        <v/>
      </c>
      <c r="S22" s="360"/>
      <c r="T22" s="360" t="str">
        <f>IF(AND('Mapa final'!$H$22="Media",'Mapa final'!$L$22="Menor"),CONCATENATE("R",'Mapa final'!$A$22),"")</f>
        <v/>
      </c>
      <c r="U22" s="361"/>
      <c r="V22" s="359" t="str">
        <f>IF(AND('Mapa final'!$H$10="Media",'Mapa final'!$L$10="Moderado"),CONCATENATE("R",'Mapa final'!$A$10),"")</f>
        <v/>
      </c>
      <c r="W22" s="360"/>
      <c r="X22" s="360" t="str">
        <f>IF(AND('Mapa final'!$H$16="Media",'Mapa final'!$L$16="Moderado"),CONCATENATE("R",'Mapa final'!$A$16),"")</f>
        <v/>
      </c>
      <c r="Y22" s="360"/>
      <c r="Z22" s="360" t="str">
        <f>IF(AND('Mapa final'!$H$22="Media",'Mapa final'!$L$22="Moderado"),CONCATENATE("R",'Mapa final'!$A$22),"")</f>
        <v>R3</v>
      </c>
      <c r="AA22" s="361"/>
      <c r="AB22" s="335" t="str">
        <f>IF(AND('Mapa final'!$H$10="Media",'Mapa final'!$L$10="Mayor"),CONCATENATE("R",'Mapa final'!$A$10),"")</f>
        <v>R1</v>
      </c>
      <c r="AC22" s="336"/>
      <c r="AD22" s="336" t="str">
        <f>IF(AND('Mapa final'!$H$16="Media",'Mapa final'!$L$16="Mayor"),CONCATENATE("R",'Mapa final'!$A$16),"")</f>
        <v/>
      </c>
      <c r="AE22" s="336"/>
      <c r="AF22" s="336" t="str">
        <f>IF(AND('Mapa final'!$H$22="Media",'Mapa final'!$L$22="Mayor"),CONCATENATE("R",'Mapa final'!$A$22),"")</f>
        <v/>
      </c>
      <c r="AG22" s="338"/>
      <c r="AH22" s="350" t="str">
        <f>IF(AND('Mapa final'!$H$10="Media",'Mapa final'!$L$10="Catastrófico"),CONCATENATE("R",'Mapa final'!$A$10),"")</f>
        <v/>
      </c>
      <c r="AI22" s="351"/>
      <c r="AJ22" s="351" t="str">
        <f>IF(AND('Mapa final'!$H$16="Media",'Mapa final'!$L$16="Catastrófico"),CONCATENATE("R",'Mapa final'!$A$16),"")</f>
        <v/>
      </c>
      <c r="AK22" s="351"/>
      <c r="AL22" s="351" t="str">
        <f>IF(AND('Mapa final'!$H$22="Media",'Mapa final'!$L$22="Catastrófico"),CONCATENATE("R",'Mapa final'!$A$22),"")</f>
        <v/>
      </c>
      <c r="AM22" s="352"/>
      <c r="AN22" s="82"/>
      <c r="AO22" s="306" t="s">
        <v>80</v>
      </c>
      <c r="AP22" s="307"/>
      <c r="AQ22" s="307"/>
      <c r="AR22" s="307"/>
      <c r="AS22" s="307"/>
      <c r="AT22" s="30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86"/>
      <c r="C23" s="286"/>
      <c r="D23" s="287"/>
      <c r="E23" s="327"/>
      <c r="F23" s="328"/>
      <c r="G23" s="328"/>
      <c r="H23" s="328"/>
      <c r="I23" s="329"/>
      <c r="J23" s="353"/>
      <c r="K23" s="354"/>
      <c r="L23" s="354"/>
      <c r="M23" s="354"/>
      <c r="N23" s="354"/>
      <c r="O23" s="355"/>
      <c r="P23" s="353"/>
      <c r="Q23" s="354"/>
      <c r="R23" s="354"/>
      <c r="S23" s="354"/>
      <c r="T23" s="354"/>
      <c r="U23" s="355"/>
      <c r="V23" s="353"/>
      <c r="W23" s="354"/>
      <c r="X23" s="354"/>
      <c r="Y23" s="354"/>
      <c r="Z23" s="354"/>
      <c r="AA23" s="355"/>
      <c r="AB23" s="337"/>
      <c r="AC23" s="333"/>
      <c r="AD23" s="333"/>
      <c r="AE23" s="333"/>
      <c r="AF23" s="333"/>
      <c r="AG23" s="334"/>
      <c r="AH23" s="344"/>
      <c r="AI23" s="345"/>
      <c r="AJ23" s="345"/>
      <c r="AK23" s="345"/>
      <c r="AL23" s="345"/>
      <c r="AM23" s="346"/>
      <c r="AN23" s="82"/>
      <c r="AO23" s="309"/>
      <c r="AP23" s="310"/>
      <c r="AQ23" s="310"/>
      <c r="AR23" s="310"/>
      <c r="AS23" s="310"/>
      <c r="AT23" s="31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86"/>
      <c r="C24" s="286"/>
      <c r="D24" s="287"/>
      <c r="E24" s="327"/>
      <c r="F24" s="328"/>
      <c r="G24" s="328"/>
      <c r="H24" s="328"/>
      <c r="I24" s="329"/>
      <c r="J24" s="353" t="str">
        <f>IF(AND('Mapa final'!$H$28="Media",'Mapa final'!$L$28="Leve"),CONCATENATE("R",'Mapa final'!$A$28),"")</f>
        <v/>
      </c>
      <c r="K24" s="354"/>
      <c r="L24" s="354" t="str">
        <f>IF(AND('Mapa final'!$H$34="Media",'Mapa final'!$L$34="Leve"),CONCATENATE("R",'Mapa final'!$A$34),"")</f>
        <v/>
      </c>
      <c r="M24" s="354"/>
      <c r="N24" s="354" t="str">
        <f>IF(AND('Mapa final'!$H$37="Media",'Mapa final'!$L$37="Leve"),CONCATENATE("R",'Mapa final'!$A$37),"")</f>
        <v/>
      </c>
      <c r="O24" s="355"/>
      <c r="P24" s="353" t="str">
        <f>IF(AND('Mapa final'!$H$28="Media",'Mapa final'!$L$28="Menor"),CONCATENATE("R",'Mapa final'!$A$28),"")</f>
        <v/>
      </c>
      <c r="Q24" s="354"/>
      <c r="R24" s="354" t="str">
        <f>IF(AND('Mapa final'!$H$34="Media",'Mapa final'!$L$34="Menor"),CONCATENATE("R",'Mapa final'!$A$34),"")</f>
        <v/>
      </c>
      <c r="S24" s="354"/>
      <c r="T24" s="354" t="str">
        <f>IF(AND('Mapa final'!$H$37="Media",'Mapa final'!$L$37="Menor"),CONCATENATE("R",'Mapa final'!$A$37),"")</f>
        <v/>
      </c>
      <c r="U24" s="355"/>
      <c r="V24" s="353" t="str">
        <f>IF(AND('Mapa final'!$H$28="Media",'Mapa final'!$L$28="Moderado"),CONCATENATE("R",'Mapa final'!$A$28),"")</f>
        <v/>
      </c>
      <c r="W24" s="354"/>
      <c r="X24" s="354" t="str">
        <f>IF(AND('Mapa final'!$H$34="Media",'Mapa final'!$L$34="Moderado"),CONCATENATE("R",'Mapa final'!$A$34),"")</f>
        <v/>
      </c>
      <c r="Y24" s="354"/>
      <c r="Z24" s="354" t="str">
        <f>IF(AND('Mapa final'!$H$37="Media",'Mapa final'!$L$37="Moderado"),CONCATENATE("R",'Mapa final'!$A$37),"")</f>
        <v/>
      </c>
      <c r="AA24" s="355"/>
      <c r="AB24" s="337" t="str">
        <f>IF(AND('Mapa final'!$H$28="Media",'Mapa final'!$L$28="Mayor"),CONCATENATE("R",'Mapa final'!$A$28),"")</f>
        <v/>
      </c>
      <c r="AC24" s="333"/>
      <c r="AD24" s="333" t="str">
        <f>IF(AND('Mapa final'!$H$34="Media",'Mapa final'!$L$34="Mayor"),CONCATENATE("R",'Mapa final'!$A$34),"")</f>
        <v/>
      </c>
      <c r="AE24" s="333"/>
      <c r="AF24" s="333" t="str">
        <f>IF(AND('Mapa final'!$H$37="Media",'Mapa final'!$L$37="Mayor"),CONCATENATE("R",'Mapa final'!$A$37),"")</f>
        <v/>
      </c>
      <c r="AG24" s="334"/>
      <c r="AH24" s="344" t="str">
        <f>IF(AND('Mapa final'!$H$28="Media",'Mapa final'!$L$28="Catastrófico"),CONCATENATE("R",'Mapa final'!$A$28),"")</f>
        <v/>
      </c>
      <c r="AI24" s="345"/>
      <c r="AJ24" s="345" t="str">
        <f>IF(AND('Mapa final'!$H$34="Media",'Mapa final'!$L$34="Catastrófico"),CONCATENATE("R",'Mapa final'!$A$34),"")</f>
        <v/>
      </c>
      <c r="AK24" s="345"/>
      <c r="AL24" s="345" t="str">
        <f>IF(AND('Mapa final'!$H$37="Media",'Mapa final'!$L$37="Catastrófico"),CONCATENATE("R",'Mapa final'!$A$37),"")</f>
        <v/>
      </c>
      <c r="AM24" s="346"/>
      <c r="AN24" s="82"/>
      <c r="AO24" s="309"/>
      <c r="AP24" s="310"/>
      <c r="AQ24" s="310"/>
      <c r="AR24" s="310"/>
      <c r="AS24" s="310"/>
      <c r="AT24" s="31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86"/>
      <c r="C25" s="286"/>
      <c r="D25" s="287"/>
      <c r="E25" s="327"/>
      <c r="F25" s="328"/>
      <c r="G25" s="328"/>
      <c r="H25" s="328"/>
      <c r="I25" s="329"/>
      <c r="J25" s="353"/>
      <c r="K25" s="354"/>
      <c r="L25" s="354"/>
      <c r="M25" s="354"/>
      <c r="N25" s="354"/>
      <c r="O25" s="355"/>
      <c r="P25" s="353"/>
      <c r="Q25" s="354"/>
      <c r="R25" s="354"/>
      <c r="S25" s="354"/>
      <c r="T25" s="354"/>
      <c r="U25" s="355"/>
      <c r="V25" s="353"/>
      <c r="W25" s="354"/>
      <c r="X25" s="354"/>
      <c r="Y25" s="354"/>
      <c r="Z25" s="354"/>
      <c r="AA25" s="355"/>
      <c r="AB25" s="337"/>
      <c r="AC25" s="333"/>
      <c r="AD25" s="333"/>
      <c r="AE25" s="333"/>
      <c r="AF25" s="333"/>
      <c r="AG25" s="334"/>
      <c r="AH25" s="344"/>
      <c r="AI25" s="345"/>
      <c r="AJ25" s="345"/>
      <c r="AK25" s="345"/>
      <c r="AL25" s="345"/>
      <c r="AM25" s="346"/>
      <c r="AN25" s="82"/>
      <c r="AO25" s="309"/>
      <c r="AP25" s="310"/>
      <c r="AQ25" s="310"/>
      <c r="AR25" s="310"/>
      <c r="AS25" s="310"/>
      <c r="AT25" s="31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86"/>
      <c r="C26" s="286"/>
      <c r="D26" s="287"/>
      <c r="E26" s="327"/>
      <c r="F26" s="328"/>
      <c r="G26" s="328"/>
      <c r="H26" s="328"/>
      <c r="I26" s="329"/>
      <c r="J26" s="353" t="str">
        <f>IF(AND('Mapa final'!$H$43="Media",'Mapa final'!$L$43="Leve"),CONCATENATE("R",'Mapa final'!$A$43),"")</f>
        <v/>
      </c>
      <c r="K26" s="354"/>
      <c r="L26" s="354" t="str">
        <f>IF(AND('Mapa final'!$H$49="Media",'Mapa final'!$L$49="Leve"),CONCATENATE("R",'Mapa final'!$A$49),"")</f>
        <v/>
      </c>
      <c r="M26" s="354"/>
      <c r="N26" s="354" t="str">
        <f>IF(AND('Mapa final'!$H$55="Media",'Mapa final'!$L$55="Leve"),CONCATENATE("R",'Mapa final'!$A$55),"")</f>
        <v/>
      </c>
      <c r="O26" s="355"/>
      <c r="P26" s="353" t="str">
        <f>IF(AND('Mapa final'!$H$43="Media",'Mapa final'!$L$43="Menor"),CONCATENATE("R",'Mapa final'!$A$43),"")</f>
        <v/>
      </c>
      <c r="Q26" s="354"/>
      <c r="R26" s="354" t="str">
        <f>IF(AND('Mapa final'!$H$49="Media",'Mapa final'!$L$49="Menor"),CONCATENATE("R",'Mapa final'!$A$49),"")</f>
        <v/>
      </c>
      <c r="S26" s="354"/>
      <c r="T26" s="354" t="str">
        <f>IF(AND('Mapa final'!$H$55="Media",'Mapa final'!$L$55="Menor"),CONCATENATE("R",'Mapa final'!$A$55),"")</f>
        <v/>
      </c>
      <c r="U26" s="355"/>
      <c r="V26" s="353" t="str">
        <f>IF(AND('Mapa final'!$H$43="Media",'Mapa final'!$L$43="Moderado"),CONCATENATE("R",'Mapa final'!$A$43),"")</f>
        <v/>
      </c>
      <c r="W26" s="354"/>
      <c r="X26" s="354" t="str">
        <f>IF(AND('Mapa final'!$H$49="Media",'Mapa final'!$L$49="Moderado"),CONCATENATE("R",'Mapa final'!$A$49),"")</f>
        <v/>
      </c>
      <c r="Y26" s="354"/>
      <c r="Z26" s="354" t="str">
        <f>IF(AND('Mapa final'!$H$55="Media",'Mapa final'!$L$55="Moderado"),CONCATENATE("R",'Mapa final'!$A$55),"")</f>
        <v/>
      </c>
      <c r="AA26" s="355"/>
      <c r="AB26" s="337" t="str">
        <f>IF(AND('Mapa final'!$H$43="Media",'Mapa final'!$L$43="Mayor"),CONCATENATE("R",'Mapa final'!$A$43),"")</f>
        <v/>
      </c>
      <c r="AC26" s="333"/>
      <c r="AD26" s="333" t="str">
        <f>IF(AND('Mapa final'!$H$49="Media",'Mapa final'!$L$49="Mayor"),CONCATENATE("R",'Mapa final'!$A$49),"")</f>
        <v/>
      </c>
      <c r="AE26" s="333"/>
      <c r="AF26" s="333" t="str">
        <f>IF(AND('Mapa final'!$H$55="Media",'Mapa final'!$L$55="Mayor"),CONCATENATE("R",'Mapa final'!$A$55),"")</f>
        <v/>
      </c>
      <c r="AG26" s="334"/>
      <c r="AH26" s="344" t="str">
        <f>IF(AND('Mapa final'!$H$43="Media",'Mapa final'!$L$43="Catastrófico"),CONCATENATE("R",'Mapa final'!$A$43),"")</f>
        <v/>
      </c>
      <c r="AI26" s="345"/>
      <c r="AJ26" s="345" t="str">
        <f>IF(AND('Mapa final'!$H$49="Media",'Mapa final'!$L$49="Catastrófico"),CONCATENATE("R",'Mapa final'!$A$49),"")</f>
        <v/>
      </c>
      <c r="AK26" s="345"/>
      <c r="AL26" s="345" t="str">
        <f>IF(AND('Mapa final'!$H$55="Media",'Mapa final'!$L$55="Catastrófico"),CONCATENATE("R",'Mapa final'!$A$55),"")</f>
        <v/>
      </c>
      <c r="AM26" s="346"/>
      <c r="AN26" s="82"/>
      <c r="AO26" s="309"/>
      <c r="AP26" s="310"/>
      <c r="AQ26" s="310"/>
      <c r="AR26" s="310"/>
      <c r="AS26" s="310"/>
      <c r="AT26" s="311"/>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86"/>
      <c r="C27" s="286"/>
      <c r="D27" s="287"/>
      <c r="E27" s="327"/>
      <c r="F27" s="328"/>
      <c r="G27" s="328"/>
      <c r="H27" s="328"/>
      <c r="I27" s="329"/>
      <c r="J27" s="353"/>
      <c r="K27" s="354"/>
      <c r="L27" s="354"/>
      <c r="M27" s="354"/>
      <c r="N27" s="354"/>
      <c r="O27" s="355"/>
      <c r="P27" s="353"/>
      <c r="Q27" s="354"/>
      <c r="R27" s="354"/>
      <c r="S27" s="354"/>
      <c r="T27" s="354"/>
      <c r="U27" s="355"/>
      <c r="V27" s="353"/>
      <c r="W27" s="354"/>
      <c r="X27" s="354"/>
      <c r="Y27" s="354"/>
      <c r="Z27" s="354"/>
      <c r="AA27" s="355"/>
      <c r="AB27" s="337"/>
      <c r="AC27" s="333"/>
      <c r="AD27" s="333"/>
      <c r="AE27" s="333"/>
      <c r="AF27" s="333"/>
      <c r="AG27" s="334"/>
      <c r="AH27" s="344"/>
      <c r="AI27" s="345"/>
      <c r="AJ27" s="345"/>
      <c r="AK27" s="345"/>
      <c r="AL27" s="345"/>
      <c r="AM27" s="346"/>
      <c r="AN27" s="82"/>
      <c r="AO27" s="309"/>
      <c r="AP27" s="310"/>
      <c r="AQ27" s="310"/>
      <c r="AR27" s="310"/>
      <c r="AS27" s="310"/>
      <c r="AT27" s="311"/>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86"/>
      <c r="C28" s="286"/>
      <c r="D28" s="287"/>
      <c r="E28" s="327"/>
      <c r="F28" s="328"/>
      <c r="G28" s="328"/>
      <c r="H28" s="328"/>
      <c r="I28" s="329"/>
      <c r="J28" s="353" t="str">
        <f>IF(AND('Mapa final'!$H$61="Media",'Mapa final'!$L$61="Leve"),CONCATENATE("R",'Mapa final'!$A$61),"")</f>
        <v/>
      </c>
      <c r="K28" s="354"/>
      <c r="L28" s="354" t="str">
        <f>IF(AND('Mapa final'!$H$67="Media",'Mapa final'!$L$67="Leve"),CONCATENATE("R",'Mapa final'!$A$67),"")</f>
        <v/>
      </c>
      <c r="M28" s="354"/>
      <c r="N28" s="354" t="str">
        <f>IF(AND('Mapa final'!$H$73="Media",'Mapa final'!$L$73="Leve"),CONCATENATE("R",'Mapa final'!$A$73),"")</f>
        <v/>
      </c>
      <c r="O28" s="355"/>
      <c r="P28" s="353" t="str">
        <f>IF(AND('Mapa final'!$H$61="Media",'Mapa final'!$L$61="Menor"),CONCATENATE("R",'Mapa final'!$A$61),"")</f>
        <v/>
      </c>
      <c r="Q28" s="354"/>
      <c r="R28" s="354" t="str">
        <f>IF(AND('Mapa final'!$H$67="Media",'Mapa final'!$L$67="Menor"),CONCATENATE("R",'Mapa final'!$A$67),"")</f>
        <v/>
      </c>
      <c r="S28" s="354"/>
      <c r="T28" s="354" t="str">
        <f>IF(AND('Mapa final'!$H$73="Media",'Mapa final'!$L$73="Menor"),CONCATENATE("R",'Mapa final'!$A$73),"")</f>
        <v/>
      </c>
      <c r="U28" s="355"/>
      <c r="V28" s="353" t="str">
        <f>IF(AND('Mapa final'!$H$61="Media",'Mapa final'!$L$61="Moderado"),CONCATENATE("R",'Mapa final'!$A$61),"")</f>
        <v/>
      </c>
      <c r="W28" s="354"/>
      <c r="X28" s="354" t="str">
        <f>IF(AND('Mapa final'!$H$67="Media",'Mapa final'!$L$67="Moderado"),CONCATENATE("R",'Mapa final'!$A$67),"")</f>
        <v/>
      </c>
      <c r="Y28" s="354"/>
      <c r="Z28" s="354" t="str">
        <f>IF(AND('Mapa final'!$H$73="Media",'Mapa final'!$L$73="Moderado"),CONCATENATE("R",'Mapa final'!$A$73),"")</f>
        <v/>
      </c>
      <c r="AA28" s="355"/>
      <c r="AB28" s="337" t="str">
        <f>IF(AND('Mapa final'!$H$61="Media",'Mapa final'!$L$61="Mayor"),CONCATENATE("R",'Mapa final'!$A$61),"")</f>
        <v/>
      </c>
      <c r="AC28" s="333"/>
      <c r="AD28" s="333" t="str">
        <f>IF(AND('Mapa final'!$H$67="Media",'Mapa final'!$L$67="Mayor"),CONCATENATE("R",'Mapa final'!$A$67),"")</f>
        <v/>
      </c>
      <c r="AE28" s="333"/>
      <c r="AF28" s="333" t="str">
        <f>IF(AND('Mapa final'!$H$73="Media",'Mapa final'!$L$73="Mayor"),CONCATENATE("R",'Mapa final'!$A$73),"")</f>
        <v/>
      </c>
      <c r="AG28" s="334"/>
      <c r="AH28" s="344" t="str">
        <f>IF(AND('Mapa final'!$H$61="Media",'Mapa final'!$L$61="Catastrófico"),CONCATENATE("R",'Mapa final'!$A$61),"")</f>
        <v/>
      </c>
      <c r="AI28" s="345"/>
      <c r="AJ28" s="345" t="str">
        <f>IF(AND('Mapa final'!$H$67="Media",'Mapa final'!$L$67="Catastrófico"),CONCATENATE("R",'Mapa final'!$A$67),"")</f>
        <v/>
      </c>
      <c r="AK28" s="345"/>
      <c r="AL28" s="345" t="str">
        <f>IF(AND('Mapa final'!$H$73="Media",'Mapa final'!$L$73="Catastrófico"),CONCATENATE("R",'Mapa final'!$A$73),"")</f>
        <v/>
      </c>
      <c r="AM28" s="346"/>
      <c r="AN28" s="82"/>
      <c r="AO28" s="309"/>
      <c r="AP28" s="310"/>
      <c r="AQ28" s="310"/>
      <c r="AR28" s="310"/>
      <c r="AS28" s="310"/>
      <c r="AT28" s="311"/>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86"/>
      <c r="C29" s="286"/>
      <c r="D29" s="287"/>
      <c r="E29" s="330"/>
      <c r="F29" s="331"/>
      <c r="G29" s="331"/>
      <c r="H29" s="331"/>
      <c r="I29" s="332"/>
      <c r="J29" s="353"/>
      <c r="K29" s="354"/>
      <c r="L29" s="354"/>
      <c r="M29" s="354"/>
      <c r="N29" s="354"/>
      <c r="O29" s="355"/>
      <c r="P29" s="356"/>
      <c r="Q29" s="357"/>
      <c r="R29" s="357"/>
      <c r="S29" s="357"/>
      <c r="T29" s="357"/>
      <c r="U29" s="358"/>
      <c r="V29" s="356"/>
      <c r="W29" s="357"/>
      <c r="X29" s="357"/>
      <c r="Y29" s="357"/>
      <c r="Z29" s="357"/>
      <c r="AA29" s="358"/>
      <c r="AB29" s="341"/>
      <c r="AC29" s="342"/>
      <c r="AD29" s="342"/>
      <c r="AE29" s="342"/>
      <c r="AF29" s="342"/>
      <c r="AG29" s="343"/>
      <c r="AH29" s="347"/>
      <c r="AI29" s="348"/>
      <c r="AJ29" s="348"/>
      <c r="AK29" s="348"/>
      <c r="AL29" s="348"/>
      <c r="AM29" s="349"/>
      <c r="AN29" s="82"/>
      <c r="AO29" s="312"/>
      <c r="AP29" s="313"/>
      <c r="AQ29" s="313"/>
      <c r="AR29" s="313"/>
      <c r="AS29" s="313"/>
      <c r="AT29" s="314"/>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86"/>
      <c r="C30" s="286"/>
      <c r="D30" s="287"/>
      <c r="E30" s="324" t="s">
        <v>113</v>
      </c>
      <c r="F30" s="325"/>
      <c r="G30" s="325"/>
      <c r="H30" s="325"/>
      <c r="I30" s="325"/>
      <c r="J30" s="368" t="str">
        <f>IF(AND('Mapa final'!$H$10="Baja",'Mapa final'!$L$10="Leve"),CONCATENATE("R",'Mapa final'!$A$10),"")</f>
        <v/>
      </c>
      <c r="K30" s="369"/>
      <c r="L30" s="369" t="str">
        <f>IF(AND('Mapa final'!$H$16="Baja",'Mapa final'!$L$16="Leve"),CONCATENATE("R",'Mapa final'!$A$16),"")</f>
        <v/>
      </c>
      <c r="M30" s="369"/>
      <c r="N30" s="369" t="str">
        <f>IF(AND('Mapa final'!$H$22="Baja",'Mapa final'!$L$22="Leve"),CONCATENATE("R",'Mapa final'!$A$22),"")</f>
        <v/>
      </c>
      <c r="O30" s="370"/>
      <c r="P30" s="360" t="str">
        <f>IF(AND('Mapa final'!$H$10="Baja",'Mapa final'!$L$10="Menor"),CONCATENATE("R",'Mapa final'!$A$10),"")</f>
        <v/>
      </c>
      <c r="Q30" s="360"/>
      <c r="R30" s="360" t="str">
        <f>IF(AND('Mapa final'!$H$16="Baja",'Mapa final'!$L$16="Menor"),CONCATENATE("R",'Mapa final'!$A$16),"")</f>
        <v/>
      </c>
      <c r="S30" s="360"/>
      <c r="T30" s="360" t="str">
        <f>IF(AND('Mapa final'!$H$22="Baja",'Mapa final'!$L$22="Menor"),CONCATENATE("R",'Mapa final'!$A$22),"")</f>
        <v/>
      </c>
      <c r="U30" s="361"/>
      <c r="V30" s="359" t="str">
        <f>IF(AND('Mapa final'!$H$10="Baja",'Mapa final'!$L$10="Moderado"),CONCATENATE("R",'Mapa final'!$A$10),"")</f>
        <v/>
      </c>
      <c r="W30" s="360"/>
      <c r="X30" s="360" t="str">
        <f>IF(AND('Mapa final'!$H$16="Baja",'Mapa final'!$L$16="Moderado"),CONCATENATE("R",'Mapa final'!$A$16),"")</f>
        <v/>
      </c>
      <c r="Y30" s="360"/>
      <c r="Z30" s="360" t="str">
        <f>IF(AND('Mapa final'!$H$22="Baja",'Mapa final'!$L$22="Moderado"),CONCATENATE("R",'Mapa final'!$A$22),"")</f>
        <v/>
      </c>
      <c r="AA30" s="361"/>
      <c r="AB30" s="335" t="str">
        <f>IF(AND('Mapa final'!$H$10="Baja",'Mapa final'!$L$10="Mayor"),CONCATENATE("R",'Mapa final'!$A$10),"")</f>
        <v/>
      </c>
      <c r="AC30" s="336"/>
      <c r="AD30" s="336" t="str">
        <f>IF(AND('Mapa final'!$H$16="Baja",'Mapa final'!$L$16="Mayor"),CONCATENATE("R",'Mapa final'!$A$16),"")</f>
        <v/>
      </c>
      <c r="AE30" s="336"/>
      <c r="AF30" s="336" t="str">
        <f>IF(AND('Mapa final'!$H$22="Baja",'Mapa final'!$L$22="Mayor"),CONCATENATE("R",'Mapa final'!$A$22),"")</f>
        <v/>
      </c>
      <c r="AG30" s="338"/>
      <c r="AH30" s="350" t="str">
        <f>IF(AND('Mapa final'!$H$10="Baja",'Mapa final'!$L$10="Catastrófico"),CONCATENATE("R",'Mapa final'!$A$10),"")</f>
        <v/>
      </c>
      <c r="AI30" s="351"/>
      <c r="AJ30" s="351" t="str">
        <f>IF(AND('Mapa final'!$H$16="Baja",'Mapa final'!$L$16="Catastrófico"),CONCATENATE("R",'Mapa final'!$A$16),"")</f>
        <v/>
      </c>
      <c r="AK30" s="351"/>
      <c r="AL30" s="351" t="str">
        <f>IF(AND('Mapa final'!$H$22="Baja",'Mapa final'!$L$22="Catastrófico"),CONCATENATE("R",'Mapa final'!$A$22),"")</f>
        <v/>
      </c>
      <c r="AM30" s="352"/>
      <c r="AN30" s="82"/>
      <c r="AO30" s="315" t="s">
        <v>81</v>
      </c>
      <c r="AP30" s="316"/>
      <c r="AQ30" s="316"/>
      <c r="AR30" s="316"/>
      <c r="AS30" s="316"/>
      <c r="AT30" s="317"/>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86"/>
      <c r="C31" s="286"/>
      <c r="D31" s="287"/>
      <c r="E31" s="327"/>
      <c r="F31" s="328"/>
      <c r="G31" s="328"/>
      <c r="H31" s="328"/>
      <c r="I31" s="328"/>
      <c r="J31" s="364"/>
      <c r="K31" s="362"/>
      <c r="L31" s="362"/>
      <c r="M31" s="362"/>
      <c r="N31" s="362"/>
      <c r="O31" s="363"/>
      <c r="P31" s="354"/>
      <c r="Q31" s="354"/>
      <c r="R31" s="354"/>
      <c r="S31" s="354"/>
      <c r="T31" s="354"/>
      <c r="U31" s="355"/>
      <c r="V31" s="353"/>
      <c r="W31" s="354"/>
      <c r="X31" s="354"/>
      <c r="Y31" s="354"/>
      <c r="Z31" s="354"/>
      <c r="AA31" s="355"/>
      <c r="AB31" s="337"/>
      <c r="AC31" s="333"/>
      <c r="AD31" s="333"/>
      <c r="AE31" s="333"/>
      <c r="AF31" s="333"/>
      <c r="AG31" s="334"/>
      <c r="AH31" s="344"/>
      <c r="AI31" s="345"/>
      <c r="AJ31" s="345"/>
      <c r="AK31" s="345"/>
      <c r="AL31" s="345"/>
      <c r="AM31" s="346"/>
      <c r="AN31" s="82"/>
      <c r="AO31" s="318"/>
      <c r="AP31" s="319"/>
      <c r="AQ31" s="319"/>
      <c r="AR31" s="319"/>
      <c r="AS31" s="319"/>
      <c r="AT31" s="32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86"/>
      <c r="C32" s="286"/>
      <c r="D32" s="287"/>
      <c r="E32" s="327"/>
      <c r="F32" s="328"/>
      <c r="G32" s="328"/>
      <c r="H32" s="328"/>
      <c r="I32" s="328"/>
      <c r="J32" s="364" t="str">
        <f>IF(AND('Mapa final'!$H$28="Baja",'Mapa final'!$L$28="Leve"),CONCATENATE("R",'Mapa final'!$A$28),"")</f>
        <v/>
      </c>
      <c r="K32" s="362"/>
      <c r="L32" s="362" t="str">
        <f>IF(AND('Mapa final'!$H$34="Baja",'Mapa final'!$L$34="Leve"),CONCATENATE("R",'Mapa final'!$A$34),"")</f>
        <v/>
      </c>
      <c r="M32" s="362"/>
      <c r="N32" s="362" t="str">
        <f>IF(AND('Mapa final'!$H$37="Baja",'Mapa final'!$L$37="Leve"),CONCATENATE("R",'Mapa final'!$A$37),"")</f>
        <v/>
      </c>
      <c r="O32" s="363"/>
      <c r="P32" s="354" t="str">
        <f>IF(AND('Mapa final'!$H$28="Baja",'Mapa final'!$L$28="Menor"),CONCATENATE("R",'Mapa final'!$A$28),"")</f>
        <v/>
      </c>
      <c r="Q32" s="354"/>
      <c r="R32" s="354" t="str">
        <f>IF(AND('Mapa final'!$H$34="Baja",'Mapa final'!$L$34="Menor"),CONCATENATE("R",'Mapa final'!$A$34),"")</f>
        <v/>
      </c>
      <c r="S32" s="354"/>
      <c r="T32" s="354" t="str">
        <f>IF(AND('Mapa final'!$H$37="Baja",'Mapa final'!$L$37="Menor"),CONCATENATE("R",'Mapa final'!$A$37),"")</f>
        <v/>
      </c>
      <c r="U32" s="355"/>
      <c r="V32" s="353" t="str">
        <f>IF(AND('Mapa final'!$H$28="Baja",'Mapa final'!$L$28="Moderado"),CONCATENATE("R",'Mapa final'!$A$28),"")</f>
        <v/>
      </c>
      <c r="W32" s="354"/>
      <c r="X32" s="354" t="str">
        <f>IF(AND('Mapa final'!$H$34="Baja",'Mapa final'!$L$34="Moderado"),CONCATENATE("R",'Mapa final'!$A$34),"")</f>
        <v/>
      </c>
      <c r="Y32" s="354"/>
      <c r="Z32" s="354" t="str">
        <f>IF(AND('Mapa final'!$H$37="Baja",'Mapa final'!$L$37="Moderado"),CONCATENATE("R",'Mapa final'!$A$37),"")</f>
        <v/>
      </c>
      <c r="AA32" s="355"/>
      <c r="AB32" s="337" t="str">
        <f>IF(AND('Mapa final'!$H$28="Baja",'Mapa final'!$L$28="Mayor"),CONCATENATE("R",'Mapa final'!$A$28),"")</f>
        <v/>
      </c>
      <c r="AC32" s="333"/>
      <c r="AD32" s="333" t="str">
        <f>IF(AND('Mapa final'!$H$34="Baja",'Mapa final'!$L$34="Mayor"),CONCATENATE("R",'Mapa final'!$A$34),"")</f>
        <v/>
      </c>
      <c r="AE32" s="333"/>
      <c r="AF32" s="333" t="str">
        <f>IF(AND('Mapa final'!$H$37="Baja",'Mapa final'!$L$37="Mayor"),CONCATENATE("R",'Mapa final'!$A$37),"")</f>
        <v/>
      </c>
      <c r="AG32" s="334"/>
      <c r="AH32" s="344" t="str">
        <f>IF(AND('Mapa final'!$H$28="Baja",'Mapa final'!$L$28="Catastrófico"),CONCATENATE("R",'Mapa final'!$A$28),"")</f>
        <v/>
      </c>
      <c r="AI32" s="345"/>
      <c r="AJ32" s="345" t="str">
        <f>IF(AND('Mapa final'!$H$34="Baja",'Mapa final'!$L$34="Catastrófico"),CONCATENATE("R",'Mapa final'!$A$34),"")</f>
        <v/>
      </c>
      <c r="AK32" s="345"/>
      <c r="AL32" s="345" t="str">
        <f>IF(AND('Mapa final'!$H$37="Baja",'Mapa final'!$L$37="Catastrófico"),CONCATENATE("R",'Mapa final'!$A$37),"")</f>
        <v/>
      </c>
      <c r="AM32" s="346"/>
      <c r="AN32" s="82"/>
      <c r="AO32" s="318"/>
      <c r="AP32" s="319"/>
      <c r="AQ32" s="319"/>
      <c r="AR32" s="319"/>
      <c r="AS32" s="319"/>
      <c r="AT32" s="32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86"/>
      <c r="C33" s="286"/>
      <c r="D33" s="287"/>
      <c r="E33" s="327"/>
      <c r="F33" s="328"/>
      <c r="G33" s="328"/>
      <c r="H33" s="328"/>
      <c r="I33" s="328"/>
      <c r="J33" s="364"/>
      <c r="K33" s="362"/>
      <c r="L33" s="362"/>
      <c r="M33" s="362"/>
      <c r="N33" s="362"/>
      <c r="O33" s="363"/>
      <c r="P33" s="354"/>
      <c r="Q33" s="354"/>
      <c r="R33" s="354"/>
      <c r="S33" s="354"/>
      <c r="T33" s="354"/>
      <c r="U33" s="355"/>
      <c r="V33" s="353"/>
      <c r="W33" s="354"/>
      <c r="X33" s="354"/>
      <c r="Y33" s="354"/>
      <c r="Z33" s="354"/>
      <c r="AA33" s="355"/>
      <c r="AB33" s="337"/>
      <c r="AC33" s="333"/>
      <c r="AD33" s="333"/>
      <c r="AE33" s="333"/>
      <c r="AF33" s="333"/>
      <c r="AG33" s="334"/>
      <c r="AH33" s="344"/>
      <c r="AI33" s="345"/>
      <c r="AJ33" s="345"/>
      <c r="AK33" s="345"/>
      <c r="AL33" s="345"/>
      <c r="AM33" s="346"/>
      <c r="AN33" s="82"/>
      <c r="AO33" s="318"/>
      <c r="AP33" s="319"/>
      <c r="AQ33" s="319"/>
      <c r="AR33" s="319"/>
      <c r="AS33" s="319"/>
      <c r="AT33" s="32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86"/>
      <c r="C34" s="286"/>
      <c r="D34" s="287"/>
      <c r="E34" s="327"/>
      <c r="F34" s="328"/>
      <c r="G34" s="328"/>
      <c r="H34" s="328"/>
      <c r="I34" s="328"/>
      <c r="J34" s="364" t="str">
        <f>IF(AND('Mapa final'!$H$43="Baja",'Mapa final'!$L$43="Leve"),CONCATENATE("R",'Mapa final'!$A$43),"")</f>
        <v/>
      </c>
      <c r="K34" s="362"/>
      <c r="L34" s="362" t="str">
        <f>IF(AND('Mapa final'!$H$49="Baja",'Mapa final'!$L$49="Leve"),CONCATENATE("R",'Mapa final'!$A$49),"")</f>
        <v/>
      </c>
      <c r="M34" s="362"/>
      <c r="N34" s="362" t="str">
        <f>IF(AND('Mapa final'!$H$55="Baja",'Mapa final'!$L$55="Leve"),CONCATENATE("R",'Mapa final'!$A$55),"")</f>
        <v/>
      </c>
      <c r="O34" s="363"/>
      <c r="P34" s="354" t="str">
        <f>IF(AND('Mapa final'!$H$43="Baja",'Mapa final'!$L$43="Menor"),CONCATENATE("R",'Mapa final'!$A$43),"")</f>
        <v/>
      </c>
      <c r="Q34" s="354"/>
      <c r="R34" s="354" t="str">
        <f>IF(AND('Mapa final'!$H$49="Baja",'Mapa final'!$L$49="Menor"),CONCATENATE("R",'Mapa final'!$A$49),"")</f>
        <v/>
      </c>
      <c r="S34" s="354"/>
      <c r="T34" s="354" t="str">
        <f>IF(AND('Mapa final'!$H$55="Baja",'Mapa final'!$L$55="Menor"),CONCATENATE("R",'Mapa final'!$A$55),"")</f>
        <v/>
      </c>
      <c r="U34" s="355"/>
      <c r="V34" s="353" t="str">
        <f>IF(AND('Mapa final'!$H$43="Baja",'Mapa final'!$L$43="Moderado"),CONCATENATE("R",'Mapa final'!$A$43),"")</f>
        <v/>
      </c>
      <c r="W34" s="354"/>
      <c r="X34" s="354" t="str">
        <f>IF(AND('Mapa final'!$H$49="Baja",'Mapa final'!$L$49="Moderado"),CONCATENATE("R",'Mapa final'!$A$49),"")</f>
        <v/>
      </c>
      <c r="Y34" s="354"/>
      <c r="Z34" s="354" t="str">
        <f>IF(AND('Mapa final'!$H$55="Baja",'Mapa final'!$L$55="Moderado"),CONCATENATE("R",'Mapa final'!$A$55),"")</f>
        <v/>
      </c>
      <c r="AA34" s="355"/>
      <c r="AB34" s="337" t="str">
        <f>IF(AND('Mapa final'!$H$43="Baja",'Mapa final'!$L$43="Mayor"),CONCATENATE("R",'Mapa final'!$A$43),"")</f>
        <v/>
      </c>
      <c r="AC34" s="333"/>
      <c r="AD34" s="333" t="str">
        <f>IF(AND('Mapa final'!$H$49="Baja",'Mapa final'!$L$49="Mayor"),CONCATENATE("R",'Mapa final'!$A$49),"")</f>
        <v/>
      </c>
      <c r="AE34" s="333"/>
      <c r="AF34" s="333" t="str">
        <f>IF(AND('Mapa final'!$H$55="Baja",'Mapa final'!$L$55="Mayor"),CONCATENATE("R",'Mapa final'!$A$55),"")</f>
        <v/>
      </c>
      <c r="AG34" s="334"/>
      <c r="AH34" s="344" t="str">
        <f>IF(AND('Mapa final'!$H$43="Baja",'Mapa final'!$L$43="Catastrófico"),CONCATENATE("R",'Mapa final'!$A$43),"")</f>
        <v/>
      </c>
      <c r="AI34" s="345"/>
      <c r="AJ34" s="345" t="str">
        <f>IF(AND('Mapa final'!$H$49="Baja",'Mapa final'!$L$49="Catastrófico"),CONCATENATE("R",'Mapa final'!$A$49),"")</f>
        <v/>
      </c>
      <c r="AK34" s="345"/>
      <c r="AL34" s="345" t="str">
        <f>IF(AND('Mapa final'!$H$55="Baja",'Mapa final'!$L$55="Catastrófico"),CONCATENATE("R",'Mapa final'!$A$55),"")</f>
        <v/>
      </c>
      <c r="AM34" s="346"/>
      <c r="AN34" s="82"/>
      <c r="AO34" s="318"/>
      <c r="AP34" s="319"/>
      <c r="AQ34" s="319"/>
      <c r="AR34" s="319"/>
      <c r="AS34" s="319"/>
      <c r="AT34" s="32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86"/>
      <c r="C35" s="286"/>
      <c r="D35" s="287"/>
      <c r="E35" s="327"/>
      <c r="F35" s="328"/>
      <c r="G35" s="328"/>
      <c r="H35" s="328"/>
      <c r="I35" s="328"/>
      <c r="J35" s="364"/>
      <c r="K35" s="362"/>
      <c r="L35" s="362"/>
      <c r="M35" s="362"/>
      <c r="N35" s="362"/>
      <c r="O35" s="363"/>
      <c r="P35" s="354"/>
      <c r="Q35" s="354"/>
      <c r="R35" s="354"/>
      <c r="S35" s="354"/>
      <c r="T35" s="354"/>
      <c r="U35" s="355"/>
      <c r="V35" s="353"/>
      <c r="W35" s="354"/>
      <c r="X35" s="354"/>
      <c r="Y35" s="354"/>
      <c r="Z35" s="354"/>
      <c r="AA35" s="355"/>
      <c r="AB35" s="337"/>
      <c r="AC35" s="333"/>
      <c r="AD35" s="333"/>
      <c r="AE35" s="333"/>
      <c r="AF35" s="333"/>
      <c r="AG35" s="334"/>
      <c r="AH35" s="344"/>
      <c r="AI35" s="345"/>
      <c r="AJ35" s="345"/>
      <c r="AK35" s="345"/>
      <c r="AL35" s="345"/>
      <c r="AM35" s="346"/>
      <c r="AN35" s="82"/>
      <c r="AO35" s="318"/>
      <c r="AP35" s="319"/>
      <c r="AQ35" s="319"/>
      <c r="AR35" s="319"/>
      <c r="AS35" s="319"/>
      <c r="AT35" s="32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86"/>
      <c r="C36" s="286"/>
      <c r="D36" s="287"/>
      <c r="E36" s="327"/>
      <c r="F36" s="328"/>
      <c r="G36" s="328"/>
      <c r="H36" s="328"/>
      <c r="I36" s="328"/>
      <c r="J36" s="364" t="str">
        <f>IF(AND('Mapa final'!$H$61="Baja",'Mapa final'!$L$61="Leve"),CONCATENATE("R",'Mapa final'!$A$61),"")</f>
        <v/>
      </c>
      <c r="K36" s="362"/>
      <c r="L36" s="362" t="str">
        <f>IF(AND('Mapa final'!$H$67="Baja",'Mapa final'!$L$67="Leve"),CONCATENATE("R",'Mapa final'!$A$67),"")</f>
        <v/>
      </c>
      <c r="M36" s="362"/>
      <c r="N36" s="362" t="str">
        <f>IF(AND('Mapa final'!$H$73="Baja",'Mapa final'!$L$73="Leve"),CONCATENATE("R",'Mapa final'!$A$73),"")</f>
        <v/>
      </c>
      <c r="O36" s="363"/>
      <c r="P36" s="354" t="str">
        <f>IF(AND('Mapa final'!$H$61="Baja",'Mapa final'!$L$61="Menor"),CONCATENATE("R",'Mapa final'!$A$61),"")</f>
        <v/>
      </c>
      <c r="Q36" s="354"/>
      <c r="R36" s="354" t="str">
        <f>IF(AND('Mapa final'!$H$67="Baja",'Mapa final'!$L$67="Menor"),CONCATENATE("R",'Mapa final'!$A$67),"")</f>
        <v/>
      </c>
      <c r="S36" s="354"/>
      <c r="T36" s="354" t="str">
        <f>IF(AND('Mapa final'!$H$73="Baja",'Mapa final'!$L$73="Menor"),CONCATENATE("R",'Mapa final'!$A$73),"")</f>
        <v/>
      </c>
      <c r="U36" s="355"/>
      <c r="V36" s="353" t="str">
        <f>IF(AND('Mapa final'!$H$61="Baja",'Mapa final'!$L$61="Moderado"),CONCATENATE("R",'Mapa final'!$A$61),"")</f>
        <v/>
      </c>
      <c r="W36" s="354"/>
      <c r="X36" s="354" t="str">
        <f>IF(AND('Mapa final'!$H$67="Baja",'Mapa final'!$L$67="Moderado"),CONCATENATE("R",'Mapa final'!$A$67),"")</f>
        <v/>
      </c>
      <c r="Y36" s="354"/>
      <c r="Z36" s="354" t="str">
        <f>IF(AND('Mapa final'!$H$73="Baja",'Mapa final'!$L$73="Moderado"),CONCATENATE("R",'Mapa final'!$A$73),"")</f>
        <v/>
      </c>
      <c r="AA36" s="355"/>
      <c r="AB36" s="337" t="str">
        <f>IF(AND('Mapa final'!$H$61="Baja",'Mapa final'!$L$61="Mayor"),CONCATENATE("R",'Mapa final'!$A$61),"")</f>
        <v/>
      </c>
      <c r="AC36" s="333"/>
      <c r="AD36" s="333" t="str">
        <f>IF(AND('Mapa final'!$H$67="Baja",'Mapa final'!$L$67="Mayor"),CONCATENATE("R",'Mapa final'!$A$67),"")</f>
        <v/>
      </c>
      <c r="AE36" s="333"/>
      <c r="AF36" s="333" t="str">
        <f>IF(AND('Mapa final'!$H$73="Baja",'Mapa final'!$L$73="Mayor"),CONCATENATE("R",'Mapa final'!$A$73),"")</f>
        <v/>
      </c>
      <c r="AG36" s="334"/>
      <c r="AH36" s="344" t="str">
        <f>IF(AND('Mapa final'!$H$61="Baja",'Mapa final'!$L$61="Catastrófico"),CONCATENATE("R",'Mapa final'!$A$61),"")</f>
        <v/>
      </c>
      <c r="AI36" s="345"/>
      <c r="AJ36" s="345" t="str">
        <f>IF(AND('Mapa final'!$H$67="Baja",'Mapa final'!$L$67="Catastrófico"),CONCATENATE("R",'Mapa final'!$A$67),"")</f>
        <v/>
      </c>
      <c r="AK36" s="345"/>
      <c r="AL36" s="345" t="str">
        <f>IF(AND('Mapa final'!$H$73="Baja",'Mapa final'!$L$73="Catastrófico"),CONCATENATE("R",'Mapa final'!$A$73),"")</f>
        <v/>
      </c>
      <c r="AM36" s="346"/>
      <c r="AN36" s="82"/>
      <c r="AO36" s="318"/>
      <c r="AP36" s="319"/>
      <c r="AQ36" s="319"/>
      <c r="AR36" s="319"/>
      <c r="AS36" s="319"/>
      <c r="AT36" s="32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86"/>
      <c r="C37" s="286"/>
      <c r="D37" s="287"/>
      <c r="E37" s="330"/>
      <c r="F37" s="331"/>
      <c r="G37" s="331"/>
      <c r="H37" s="331"/>
      <c r="I37" s="331"/>
      <c r="J37" s="365"/>
      <c r="K37" s="366"/>
      <c r="L37" s="366"/>
      <c r="M37" s="366"/>
      <c r="N37" s="366"/>
      <c r="O37" s="367"/>
      <c r="P37" s="357"/>
      <c r="Q37" s="357"/>
      <c r="R37" s="357"/>
      <c r="S37" s="357"/>
      <c r="T37" s="357"/>
      <c r="U37" s="358"/>
      <c r="V37" s="356"/>
      <c r="W37" s="357"/>
      <c r="X37" s="357"/>
      <c r="Y37" s="357"/>
      <c r="Z37" s="357"/>
      <c r="AA37" s="358"/>
      <c r="AB37" s="341"/>
      <c r="AC37" s="342"/>
      <c r="AD37" s="342"/>
      <c r="AE37" s="342"/>
      <c r="AF37" s="342"/>
      <c r="AG37" s="343"/>
      <c r="AH37" s="347"/>
      <c r="AI37" s="348"/>
      <c r="AJ37" s="348"/>
      <c r="AK37" s="348"/>
      <c r="AL37" s="348"/>
      <c r="AM37" s="349"/>
      <c r="AN37" s="82"/>
      <c r="AO37" s="321"/>
      <c r="AP37" s="322"/>
      <c r="AQ37" s="322"/>
      <c r="AR37" s="322"/>
      <c r="AS37" s="322"/>
      <c r="AT37" s="32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86"/>
      <c r="C38" s="286"/>
      <c r="D38" s="287"/>
      <c r="E38" s="324" t="s">
        <v>112</v>
      </c>
      <c r="F38" s="325"/>
      <c r="G38" s="325"/>
      <c r="H38" s="325"/>
      <c r="I38" s="326"/>
      <c r="J38" s="368" t="str">
        <f>IF(AND('Mapa final'!$H$10="Muy Baja",'Mapa final'!$L$10="Leve"),CONCATENATE("R",'Mapa final'!$A$10),"")</f>
        <v/>
      </c>
      <c r="K38" s="369"/>
      <c r="L38" s="369" t="str">
        <f>IF(AND('Mapa final'!$H$16="Muy Baja",'Mapa final'!$L$16="Leve"),CONCATENATE("R",'Mapa final'!$A$16),"")</f>
        <v/>
      </c>
      <c r="M38" s="369"/>
      <c r="N38" s="369" t="str">
        <f>IF(AND('Mapa final'!$H$22="Muy Baja",'Mapa final'!$L$22="Leve"),CONCATENATE("R",'Mapa final'!$A$22),"")</f>
        <v/>
      </c>
      <c r="O38" s="370"/>
      <c r="P38" s="368" t="str">
        <f>IF(AND('Mapa final'!$H$10="Muy Baja",'Mapa final'!$L$10="Menor"),CONCATENATE("R",'Mapa final'!$A$10),"")</f>
        <v/>
      </c>
      <c r="Q38" s="369"/>
      <c r="R38" s="369" t="str">
        <f>IF(AND('Mapa final'!$H$16="Muy Baja",'Mapa final'!$L$16="Menor"),CONCATENATE("R",'Mapa final'!$A$16),"")</f>
        <v/>
      </c>
      <c r="S38" s="369"/>
      <c r="T38" s="369" t="str">
        <f>IF(AND('Mapa final'!$H$22="Muy Baja",'Mapa final'!$L$22="Menor"),CONCATENATE("R",'Mapa final'!$A$22),"")</f>
        <v/>
      </c>
      <c r="U38" s="370"/>
      <c r="V38" s="359" t="str">
        <f>IF(AND('Mapa final'!$H$10="Muy Baja",'Mapa final'!$L$10="Moderado"),CONCATENATE("R",'Mapa final'!$A$10),"")</f>
        <v/>
      </c>
      <c r="W38" s="360"/>
      <c r="X38" s="360" t="str">
        <f>IF(AND('Mapa final'!$H$16="Muy Baja",'Mapa final'!$L$16="Moderado"),CONCATENATE("R",'Mapa final'!$A$16),"")</f>
        <v/>
      </c>
      <c r="Y38" s="360"/>
      <c r="Z38" s="360" t="str">
        <f>IF(AND('Mapa final'!$H$22="Muy Baja",'Mapa final'!$L$22="Moderado"),CONCATENATE("R",'Mapa final'!$A$22),"")</f>
        <v/>
      </c>
      <c r="AA38" s="361"/>
      <c r="AB38" s="335" t="str">
        <f>IF(AND('Mapa final'!$H$10="Muy Baja",'Mapa final'!$L$10="Mayor"),CONCATENATE("R",'Mapa final'!$A$10),"")</f>
        <v/>
      </c>
      <c r="AC38" s="336"/>
      <c r="AD38" s="336" t="str">
        <f>IF(AND('Mapa final'!$H$16="Muy Baja",'Mapa final'!$L$16="Mayor"),CONCATENATE("R",'Mapa final'!$A$16),"")</f>
        <v/>
      </c>
      <c r="AE38" s="336"/>
      <c r="AF38" s="336" t="str">
        <f>IF(AND('Mapa final'!$H$22="Muy Baja",'Mapa final'!$L$22="Mayor"),CONCATENATE("R",'Mapa final'!$A$22),"")</f>
        <v/>
      </c>
      <c r="AG38" s="338"/>
      <c r="AH38" s="350" t="str">
        <f>IF(AND('Mapa final'!$H$10="Muy Baja",'Mapa final'!$L$10="Catastrófico"),CONCATENATE("R",'Mapa final'!$A$10),"")</f>
        <v/>
      </c>
      <c r="AI38" s="351"/>
      <c r="AJ38" s="351" t="str">
        <f>IF(AND('Mapa final'!$H$16="Muy Baja",'Mapa final'!$L$16="Catastrófico"),CONCATENATE("R",'Mapa final'!$A$16),"")</f>
        <v/>
      </c>
      <c r="AK38" s="351"/>
      <c r="AL38" s="351" t="str">
        <f>IF(AND('Mapa final'!$H$22="Muy Baja",'Mapa final'!$L$22="Catastrófico"),CONCATENATE("R",'Mapa final'!$A$22),"")</f>
        <v/>
      </c>
      <c r="AM38" s="35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86"/>
      <c r="C39" s="286"/>
      <c r="D39" s="287"/>
      <c r="E39" s="327"/>
      <c r="F39" s="328"/>
      <c r="G39" s="328"/>
      <c r="H39" s="328"/>
      <c r="I39" s="329"/>
      <c r="J39" s="364"/>
      <c r="K39" s="362"/>
      <c r="L39" s="362"/>
      <c r="M39" s="362"/>
      <c r="N39" s="362"/>
      <c r="O39" s="363"/>
      <c r="P39" s="364"/>
      <c r="Q39" s="362"/>
      <c r="R39" s="362"/>
      <c r="S39" s="362"/>
      <c r="T39" s="362"/>
      <c r="U39" s="363"/>
      <c r="V39" s="353"/>
      <c r="W39" s="354"/>
      <c r="X39" s="354"/>
      <c r="Y39" s="354"/>
      <c r="Z39" s="354"/>
      <c r="AA39" s="355"/>
      <c r="AB39" s="337"/>
      <c r="AC39" s="333"/>
      <c r="AD39" s="333"/>
      <c r="AE39" s="333"/>
      <c r="AF39" s="333"/>
      <c r="AG39" s="334"/>
      <c r="AH39" s="344"/>
      <c r="AI39" s="345"/>
      <c r="AJ39" s="345"/>
      <c r="AK39" s="345"/>
      <c r="AL39" s="345"/>
      <c r="AM39" s="346"/>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86"/>
      <c r="C40" s="286"/>
      <c r="D40" s="287"/>
      <c r="E40" s="327"/>
      <c r="F40" s="328"/>
      <c r="G40" s="328"/>
      <c r="H40" s="328"/>
      <c r="I40" s="329"/>
      <c r="J40" s="364" t="str">
        <f>IF(AND('Mapa final'!$H$28="Muy Baja",'Mapa final'!$L$28="Leve"),CONCATENATE("R",'Mapa final'!$A$28),"")</f>
        <v/>
      </c>
      <c r="K40" s="362"/>
      <c r="L40" s="362" t="str">
        <f>IF(AND('Mapa final'!$H$34="Muy Baja",'Mapa final'!$L$34="Leve"),CONCATENATE("R",'Mapa final'!$A$34),"")</f>
        <v/>
      </c>
      <c r="M40" s="362"/>
      <c r="N40" s="362" t="str">
        <f>IF(AND('Mapa final'!$H$37="Muy Baja",'Mapa final'!$L$37="Leve"),CONCATENATE("R",'Mapa final'!$A$37),"")</f>
        <v/>
      </c>
      <c r="O40" s="363"/>
      <c r="P40" s="364" t="str">
        <f>IF(AND('Mapa final'!$H$28="Muy Baja",'Mapa final'!$L$28="Menor"),CONCATENATE("R",'Mapa final'!$A$28),"")</f>
        <v/>
      </c>
      <c r="Q40" s="362"/>
      <c r="R40" s="362" t="str">
        <f>IF(AND('Mapa final'!$H$34="Muy Baja",'Mapa final'!$L$34="Menor"),CONCATENATE("R",'Mapa final'!$A$34),"")</f>
        <v/>
      </c>
      <c r="S40" s="362"/>
      <c r="T40" s="362" t="str">
        <f>IF(AND('Mapa final'!$H$37="Muy Baja",'Mapa final'!$L$37="Menor"),CONCATENATE("R",'Mapa final'!$A$37),"")</f>
        <v/>
      </c>
      <c r="U40" s="363"/>
      <c r="V40" s="353" t="str">
        <f>IF(AND('Mapa final'!$H$28="Muy Baja",'Mapa final'!$L$28="Moderado"),CONCATENATE("R",'Mapa final'!$A$28),"")</f>
        <v/>
      </c>
      <c r="W40" s="354"/>
      <c r="X40" s="354" t="str">
        <f>IF(AND('Mapa final'!$H$34="Muy Baja",'Mapa final'!$L$34="Moderado"),CONCATENATE("R",'Mapa final'!$A$34),"")</f>
        <v/>
      </c>
      <c r="Y40" s="354"/>
      <c r="Z40" s="354" t="str">
        <f>IF(AND('Mapa final'!$H$37="Muy Baja",'Mapa final'!$L$37="Moderado"),CONCATENATE("R",'Mapa final'!$A$37),"")</f>
        <v/>
      </c>
      <c r="AA40" s="355"/>
      <c r="AB40" s="337" t="str">
        <f>IF(AND('Mapa final'!$H$28="Muy Baja",'Mapa final'!$L$28="Mayor"),CONCATENATE("R",'Mapa final'!$A$28),"")</f>
        <v/>
      </c>
      <c r="AC40" s="333"/>
      <c r="AD40" s="333" t="str">
        <f>IF(AND('Mapa final'!$H$34="Muy Baja",'Mapa final'!$L$34="Mayor"),CONCATENATE("R",'Mapa final'!$A$34),"")</f>
        <v/>
      </c>
      <c r="AE40" s="333"/>
      <c r="AF40" s="333" t="str">
        <f>IF(AND('Mapa final'!$H$37="Muy Baja",'Mapa final'!$L$37="Mayor"),CONCATENATE("R",'Mapa final'!$A$37),"")</f>
        <v/>
      </c>
      <c r="AG40" s="334"/>
      <c r="AH40" s="344" t="str">
        <f>IF(AND('Mapa final'!$H$28="Muy Baja",'Mapa final'!$L$28="Catastrófico"),CONCATENATE("R",'Mapa final'!$A$28),"")</f>
        <v/>
      </c>
      <c r="AI40" s="345"/>
      <c r="AJ40" s="345" t="str">
        <f>IF(AND('Mapa final'!$H$34="Muy Baja",'Mapa final'!$L$34="Catastrófico"),CONCATENATE("R",'Mapa final'!$A$34),"")</f>
        <v/>
      </c>
      <c r="AK40" s="345"/>
      <c r="AL40" s="345" t="str">
        <f>IF(AND('Mapa final'!$H$37="Muy Baja",'Mapa final'!$L$37="Catastrófico"),CONCATENATE("R",'Mapa final'!$A$37),"")</f>
        <v/>
      </c>
      <c r="AM40" s="346"/>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86"/>
      <c r="C41" s="286"/>
      <c r="D41" s="287"/>
      <c r="E41" s="327"/>
      <c r="F41" s="328"/>
      <c r="G41" s="328"/>
      <c r="H41" s="328"/>
      <c r="I41" s="329"/>
      <c r="J41" s="364"/>
      <c r="K41" s="362"/>
      <c r="L41" s="362"/>
      <c r="M41" s="362"/>
      <c r="N41" s="362"/>
      <c r="O41" s="363"/>
      <c r="P41" s="364"/>
      <c r="Q41" s="362"/>
      <c r="R41" s="362"/>
      <c r="S41" s="362"/>
      <c r="T41" s="362"/>
      <c r="U41" s="363"/>
      <c r="V41" s="353"/>
      <c r="W41" s="354"/>
      <c r="X41" s="354"/>
      <c r="Y41" s="354"/>
      <c r="Z41" s="354"/>
      <c r="AA41" s="355"/>
      <c r="AB41" s="337"/>
      <c r="AC41" s="333"/>
      <c r="AD41" s="333"/>
      <c r="AE41" s="333"/>
      <c r="AF41" s="333"/>
      <c r="AG41" s="334"/>
      <c r="AH41" s="344"/>
      <c r="AI41" s="345"/>
      <c r="AJ41" s="345"/>
      <c r="AK41" s="345"/>
      <c r="AL41" s="345"/>
      <c r="AM41" s="346"/>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86"/>
      <c r="C42" s="286"/>
      <c r="D42" s="287"/>
      <c r="E42" s="327"/>
      <c r="F42" s="328"/>
      <c r="G42" s="328"/>
      <c r="H42" s="328"/>
      <c r="I42" s="329"/>
      <c r="J42" s="364" t="str">
        <f>IF(AND('Mapa final'!$H$43="Muy Baja",'Mapa final'!$L$43="Leve"),CONCATENATE("R",'Mapa final'!$A$43),"")</f>
        <v/>
      </c>
      <c r="K42" s="362"/>
      <c r="L42" s="362" t="str">
        <f>IF(AND('Mapa final'!$H$49="Muy Baja",'Mapa final'!$L$49="Leve"),CONCATENATE("R",'Mapa final'!$A$49),"")</f>
        <v/>
      </c>
      <c r="M42" s="362"/>
      <c r="N42" s="362" t="str">
        <f>IF(AND('Mapa final'!$H$55="Muy Baja",'Mapa final'!$L$55="Leve"),CONCATENATE("R",'Mapa final'!$A$55),"")</f>
        <v/>
      </c>
      <c r="O42" s="363"/>
      <c r="P42" s="364" t="str">
        <f>IF(AND('Mapa final'!$H$43="Muy Baja",'Mapa final'!$L$43="Menor"),CONCATENATE("R",'Mapa final'!$A$43),"")</f>
        <v/>
      </c>
      <c r="Q42" s="362"/>
      <c r="R42" s="362" t="str">
        <f>IF(AND('Mapa final'!$H$49="Muy Baja",'Mapa final'!$L$49="Menor"),CONCATENATE("R",'Mapa final'!$A$49),"")</f>
        <v/>
      </c>
      <c r="S42" s="362"/>
      <c r="T42" s="362" t="str">
        <f>IF(AND('Mapa final'!$H$55="Muy Baja",'Mapa final'!$L$55="Menor"),CONCATENATE("R",'Mapa final'!$A$55),"")</f>
        <v/>
      </c>
      <c r="U42" s="363"/>
      <c r="V42" s="353" t="str">
        <f>IF(AND('Mapa final'!$H$43="Muy Baja",'Mapa final'!$L$43="Moderado"),CONCATENATE("R",'Mapa final'!$A$43),"")</f>
        <v/>
      </c>
      <c r="W42" s="354"/>
      <c r="X42" s="354" t="str">
        <f>IF(AND('Mapa final'!$H$49="Muy Baja",'Mapa final'!$L$49="Moderado"),CONCATENATE("R",'Mapa final'!$A$49),"")</f>
        <v/>
      </c>
      <c r="Y42" s="354"/>
      <c r="Z42" s="354" t="str">
        <f>IF(AND('Mapa final'!$H$55="Muy Baja",'Mapa final'!$L$55="Moderado"),CONCATENATE("R",'Mapa final'!$A$55),"")</f>
        <v/>
      </c>
      <c r="AA42" s="355"/>
      <c r="AB42" s="337" t="str">
        <f>IF(AND('Mapa final'!$H$43="Muy Baja",'Mapa final'!$L$43="Mayor"),CONCATENATE("R",'Mapa final'!$A$43),"")</f>
        <v/>
      </c>
      <c r="AC42" s="333"/>
      <c r="AD42" s="333" t="str">
        <f>IF(AND('Mapa final'!$H$49="Muy Baja",'Mapa final'!$L$49="Mayor"),CONCATENATE("R",'Mapa final'!$A$49),"")</f>
        <v/>
      </c>
      <c r="AE42" s="333"/>
      <c r="AF42" s="333" t="str">
        <f>IF(AND('Mapa final'!$H$55="Muy Baja",'Mapa final'!$L$55="Mayor"),CONCATENATE("R",'Mapa final'!$A$55),"")</f>
        <v/>
      </c>
      <c r="AG42" s="334"/>
      <c r="AH42" s="344" t="str">
        <f>IF(AND('Mapa final'!$H$43="Muy Baja",'Mapa final'!$L$43="Catastrófico"),CONCATENATE("R",'Mapa final'!$A$43),"")</f>
        <v/>
      </c>
      <c r="AI42" s="345"/>
      <c r="AJ42" s="345" t="str">
        <f>IF(AND('Mapa final'!$H$49="Muy Baja",'Mapa final'!$L$49="Catastrófico"),CONCATENATE("R",'Mapa final'!$A$49),"")</f>
        <v/>
      </c>
      <c r="AK42" s="345"/>
      <c r="AL42" s="345" t="str">
        <f>IF(AND('Mapa final'!$H$55="Muy Baja",'Mapa final'!$L$55="Catastrófico"),CONCATENATE("R",'Mapa final'!$A$55),"")</f>
        <v/>
      </c>
      <c r="AM42" s="346"/>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86"/>
      <c r="C43" s="286"/>
      <c r="D43" s="287"/>
      <c r="E43" s="327"/>
      <c r="F43" s="328"/>
      <c r="G43" s="328"/>
      <c r="H43" s="328"/>
      <c r="I43" s="329"/>
      <c r="J43" s="364"/>
      <c r="K43" s="362"/>
      <c r="L43" s="362"/>
      <c r="M43" s="362"/>
      <c r="N43" s="362"/>
      <c r="O43" s="363"/>
      <c r="P43" s="364"/>
      <c r="Q43" s="362"/>
      <c r="R43" s="362"/>
      <c r="S43" s="362"/>
      <c r="T43" s="362"/>
      <c r="U43" s="363"/>
      <c r="V43" s="353"/>
      <c r="W43" s="354"/>
      <c r="X43" s="354"/>
      <c r="Y43" s="354"/>
      <c r="Z43" s="354"/>
      <c r="AA43" s="355"/>
      <c r="AB43" s="337"/>
      <c r="AC43" s="333"/>
      <c r="AD43" s="333"/>
      <c r="AE43" s="333"/>
      <c r="AF43" s="333"/>
      <c r="AG43" s="334"/>
      <c r="AH43" s="344"/>
      <c r="AI43" s="345"/>
      <c r="AJ43" s="345"/>
      <c r="AK43" s="345"/>
      <c r="AL43" s="345"/>
      <c r="AM43" s="346"/>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86"/>
      <c r="C44" s="286"/>
      <c r="D44" s="287"/>
      <c r="E44" s="327"/>
      <c r="F44" s="328"/>
      <c r="G44" s="328"/>
      <c r="H44" s="328"/>
      <c r="I44" s="329"/>
      <c r="J44" s="364" t="str">
        <f>IF(AND('Mapa final'!$H$61="Muy Baja",'Mapa final'!$L$61="Leve"),CONCATENATE("R",'Mapa final'!$A$61),"")</f>
        <v/>
      </c>
      <c r="K44" s="362"/>
      <c r="L44" s="362" t="str">
        <f>IF(AND('Mapa final'!$H$67="Muy Baja",'Mapa final'!$L$67="Leve"),CONCATENATE("R",'Mapa final'!$A$67),"")</f>
        <v/>
      </c>
      <c r="M44" s="362"/>
      <c r="N44" s="362" t="str">
        <f>IF(AND('Mapa final'!$H$73="Muy Baja",'Mapa final'!$L$73="Leve"),CONCATENATE("R",'Mapa final'!$A$73),"")</f>
        <v/>
      </c>
      <c r="O44" s="363"/>
      <c r="P44" s="364" t="str">
        <f>IF(AND('Mapa final'!$H$61="Muy Baja",'Mapa final'!$L$61="Menor"),CONCATENATE("R",'Mapa final'!$A$61),"")</f>
        <v/>
      </c>
      <c r="Q44" s="362"/>
      <c r="R44" s="362" t="str">
        <f>IF(AND('Mapa final'!$H$67="Muy Baja",'Mapa final'!$L$67="Menor"),CONCATENATE("R",'Mapa final'!$A$67),"")</f>
        <v/>
      </c>
      <c r="S44" s="362"/>
      <c r="T44" s="362" t="str">
        <f>IF(AND('Mapa final'!$H$73="Muy Baja",'Mapa final'!$L$73="Menor"),CONCATENATE("R",'Mapa final'!$A$73),"")</f>
        <v/>
      </c>
      <c r="U44" s="363"/>
      <c r="V44" s="353" t="str">
        <f>IF(AND('Mapa final'!$H$61="Muy Baja",'Mapa final'!$L$61="Moderado"),CONCATENATE("R",'Mapa final'!$A$61),"")</f>
        <v/>
      </c>
      <c r="W44" s="354"/>
      <c r="X44" s="354" t="str">
        <f>IF(AND('Mapa final'!$H$67="Muy Baja",'Mapa final'!$L$67="Moderado"),CONCATENATE("R",'Mapa final'!$A$67),"")</f>
        <v/>
      </c>
      <c r="Y44" s="354"/>
      <c r="Z44" s="354" t="str">
        <f>IF(AND('Mapa final'!$H$73="Muy Baja",'Mapa final'!$L$73="Moderado"),CONCATENATE("R",'Mapa final'!$A$73),"")</f>
        <v/>
      </c>
      <c r="AA44" s="355"/>
      <c r="AB44" s="337" t="str">
        <f>IF(AND('Mapa final'!$H$61="Muy Baja",'Mapa final'!$L$61="Mayor"),CONCATENATE("R",'Mapa final'!$A$61),"")</f>
        <v/>
      </c>
      <c r="AC44" s="333"/>
      <c r="AD44" s="333" t="str">
        <f>IF(AND('Mapa final'!$H$67="Muy Baja",'Mapa final'!$L$67="Mayor"),CONCATENATE("R",'Mapa final'!$A$67),"")</f>
        <v/>
      </c>
      <c r="AE44" s="333"/>
      <c r="AF44" s="333" t="str">
        <f>IF(AND('Mapa final'!$H$73="Muy Baja",'Mapa final'!$L$73="Mayor"),CONCATENATE("R",'Mapa final'!$A$73),"")</f>
        <v/>
      </c>
      <c r="AG44" s="334"/>
      <c r="AH44" s="344" t="str">
        <f>IF(AND('Mapa final'!$H$61="Muy Baja",'Mapa final'!$L$61="Catastrófico"),CONCATENATE("R",'Mapa final'!$A$61),"")</f>
        <v/>
      </c>
      <c r="AI44" s="345"/>
      <c r="AJ44" s="345" t="str">
        <f>IF(AND('Mapa final'!$H$67="Muy Baja",'Mapa final'!$L$67="Catastrófico"),CONCATENATE("R",'Mapa final'!$A$67),"")</f>
        <v/>
      </c>
      <c r="AK44" s="345"/>
      <c r="AL44" s="345" t="str">
        <f>IF(AND('Mapa final'!$H$73="Muy Baja",'Mapa final'!$L$73="Catastrófico"),CONCATENATE("R",'Mapa final'!$A$73),"")</f>
        <v/>
      </c>
      <c r="AM44" s="346"/>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86"/>
      <c r="C45" s="286"/>
      <c r="D45" s="287"/>
      <c r="E45" s="330"/>
      <c r="F45" s="331"/>
      <c r="G45" s="331"/>
      <c r="H45" s="331"/>
      <c r="I45" s="332"/>
      <c r="J45" s="365"/>
      <c r="K45" s="366"/>
      <c r="L45" s="366"/>
      <c r="M45" s="366"/>
      <c r="N45" s="366"/>
      <c r="O45" s="367"/>
      <c r="P45" s="365"/>
      <c r="Q45" s="366"/>
      <c r="R45" s="366"/>
      <c r="S45" s="366"/>
      <c r="T45" s="366"/>
      <c r="U45" s="367"/>
      <c r="V45" s="356"/>
      <c r="W45" s="357"/>
      <c r="X45" s="357"/>
      <c r="Y45" s="357"/>
      <c r="Z45" s="357"/>
      <c r="AA45" s="358"/>
      <c r="AB45" s="341"/>
      <c r="AC45" s="342"/>
      <c r="AD45" s="342"/>
      <c r="AE45" s="342"/>
      <c r="AF45" s="342"/>
      <c r="AG45" s="343"/>
      <c r="AH45" s="347"/>
      <c r="AI45" s="348"/>
      <c r="AJ45" s="348"/>
      <c r="AK45" s="348"/>
      <c r="AL45" s="348"/>
      <c r="AM45" s="349"/>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24" t="s">
        <v>111</v>
      </c>
      <c r="K46" s="325"/>
      <c r="L46" s="325"/>
      <c r="M46" s="325"/>
      <c r="N46" s="325"/>
      <c r="O46" s="326"/>
      <c r="P46" s="324" t="s">
        <v>110</v>
      </c>
      <c r="Q46" s="325"/>
      <c r="R46" s="325"/>
      <c r="S46" s="325"/>
      <c r="T46" s="325"/>
      <c r="U46" s="326"/>
      <c r="V46" s="324" t="s">
        <v>109</v>
      </c>
      <c r="W46" s="325"/>
      <c r="X46" s="325"/>
      <c r="Y46" s="325"/>
      <c r="Z46" s="325"/>
      <c r="AA46" s="326"/>
      <c r="AB46" s="324" t="s">
        <v>108</v>
      </c>
      <c r="AC46" s="340"/>
      <c r="AD46" s="325"/>
      <c r="AE46" s="325"/>
      <c r="AF46" s="325"/>
      <c r="AG46" s="326"/>
      <c r="AH46" s="324" t="s">
        <v>107</v>
      </c>
      <c r="AI46" s="325"/>
      <c r="AJ46" s="325"/>
      <c r="AK46" s="325"/>
      <c r="AL46" s="325"/>
      <c r="AM46" s="326"/>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27"/>
      <c r="K47" s="328"/>
      <c r="L47" s="328"/>
      <c r="M47" s="328"/>
      <c r="N47" s="328"/>
      <c r="O47" s="329"/>
      <c r="P47" s="327"/>
      <c r="Q47" s="328"/>
      <c r="R47" s="328"/>
      <c r="S47" s="328"/>
      <c r="T47" s="328"/>
      <c r="U47" s="329"/>
      <c r="V47" s="327"/>
      <c r="W47" s="328"/>
      <c r="X47" s="328"/>
      <c r="Y47" s="328"/>
      <c r="Z47" s="328"/>
      <c r="AA47" s="329"/>
      <c r="AB47" s="327"/>
      <c r="AC47" s="328"/>
      <c r="AD47" s="328"/>
      <c r="AE47" s="328"/>
      <c r="AF47" s="328"/>
      <c r="AG47" s="329"/>
      <c r="AH47" s="327"/>
      <c r="AI47" s="328"/>
      <c r="AJ47" s="328"/>
      <c r="AK47" s="328"/>
      <c r="AL47" s="328"/>
      <c r="AM47" s="329"/>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27"/>
      <c r="K48" s="328"/>
      <c r="L48" s="328"/>
      <c r="M48" s="328"/>
      <c r="N48" s="328"/>
      <c r="O48" s="329"/>
      <c r="P48" s="327"/>
      <c r="Q48" s="328"/>
      <c r="R48" s="328"/>
      <c r="S48" s="328"/>
      <c r="T48" s="328"/>
      <c r="U48" s="329"/>
      <c r="V48" s="327"/>
      <c r="W48" s="328"/>
      <c r="X48" s="328"/>
      <c r="Y48" s="328"/>
      <c r="Z48" s="328"/>
      <c r="AA48" s="329"/>
      <c r="AB48" s="327"/>
      <c r="AC48" s="328"/>
      <c r="AD48" s="328"/>
      <c r="AE48" s="328"/>
      <c r="AF48" s="328"/>
      <c r="AG48" s="329"/>
      <c r="AH48" s="327"/>
      <c r="AI48" s="328"/>
      <c r="AJ48" s="328"/>
      <c r="AK48" s="328"/>
      <c r="AL48" s="328"/>
      <c r="AM48" s="329"/>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27"/>
      <c r="K49" s="328"/>
      <c r="L49" s="328"/>
      <c r="M49" s="328"/>
      <c r="N49" s="328"/>
      <c r="O49" s="329"/>
      <c r="P49" s="327"/>
      <c r="Q49" s="328"/>
      <c r="R49" s="328"/>
      <c r="S49" s="328"/>
      <c r="T49" s="328"/>
      <c r="U49" s="329"/>
      <c r="V49" s="327"/>
      <c r="W49" s="328"/>
      <c r="X49" s="328"/>
      <c r="Y49" s="328"/>
      <c r="Z49" s="328"/>
      <c r="AA49" s="329"/>
      <c r="AB49" s="327"/>
      <c r="AC49" s="328"/>
      <c r="AD49" s="328"/>
      <c r="AE49" s="328"/>
      <c r="AF49" s="328"/>
      <c r="AG49" s="329"/>
      <c r="AH49" s="327"/>
      <c r="AI49" s="328"/>
      <c r="AJ49" s="328"/>
      <c r="AK49" s="328"/>
      <c r="AL49" s="328"/>
      <c r="AM49" s="329"/>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27"/>
      <c r="K50" s="328"/>
      <c r="L50" s="328"/>
      <c r="M50" s="328"/>
      <c r="N50" s="328"/>
      <c r="O50" s="329"/>
      <c r="P50" s="327"/>
      <c r="Q50" s="328"/>
      <c r="R50" s="328"/>
      <c r="S50" s="328"/>
      <c r="T50" s="328"/>
      <c r="U50" s="329"/>
      <c r="V50" s="327"/>
      <c r="W50" s="328"/>
      <c r="X50" s="328"/>
      <c r="Y50" s="328"/>
      <c r="Z50" s="328"/>
      <c r="AA50" s="329"/>
      <c r="AB50" s="327"/>
      <c r="AC50" s="328"/>
      <c r="AD50" s="328"/>
      <c r="AE50" s="328"/>
      <c r="AF50" s="328"/>
      <c r="AG50" s="329"/>
      <c r="AH50" s="327"/>
      <c r="AI50" s="328"/>
      <c r="AJ50" s="328"/>
      <c r="AK50" s="328"/>
      <c r="AL50" s="328"/>
      <c r="AM50" s="329"/>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30"/>
      <c r="K51" s="331"/>
      <c r="L51" s="331"/>
      <c r="M51" s="331"/>
      <c r="N51" s="331"/>
      <c r="O51" s="332"/>
      <c r="P51" s="330"/>
      <c r="Q51" s="331"/>
      <c r="R51" s="331"/>
      <c r="S51" s="331"/>
      <c r="T51" s="331"/>
      <c r="U51" s="332"/>
      <c r="V51" s="330"/>
      <c r="W51" s="331"/>
      <c r="X51" s="331"/>
      <c r="Y51" s="331"/>
      <c r="Z51" s="331"/>
      <c r="AA51" s="332"/>
      <c r="AB51" s="330"/>
      <c r="AC51" s="331"/>
      <c r="AD51" s="331"/>
      <c r="AE51" s="331"/>
      <c r="AF51" s="331"/>
      <c r="AG51" s="332"/>
      <c r="AH51" s="330"/>
      <c r="AI51" s="331"/>
      <c r="AJ51" s="331"/>
      <c r="AK51" s="331"/>
      <c r="AL51" s="331"/>
      <c r="AM51" s="33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41" zoomScaleNormal="100" workbookViewId="0">
      <selection activeCell="L10" sqref="L10"/>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7" t="s">
        <v>158</v>
      </c>
      <c r="C2" s="398"/>
      <c r="D2" s="398"/>
      <c r="E2" s="398"/>
      <c r="F2" s="398"/>
      <c r="G2" s="398"/>
      <c r="H2" s="398"/>
      <c r="I2" s="398"/>
      <c r="J2" s="339" t="s">
        <v>2</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98"/>
      <c r="C3" s="398"/>
      <c r="D3" s="398"/>
      <c r="E3" s="398"/>
      <c r="F3" s="398"/>
      <c r="G3" s="398"/>
      <c r="H3" s="398"/>
      <c r="I3" s="398"/>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98"/>
      <c r="C4" s="398"/>
      <c r="D4" s="398"/>
      <c r="E4" s="398"/>
      <c r="F4" s="398"/>
      <c r="G4" s="398"/>
      <c r="H4" s="398"/>
      <c r="I4" s="398"/>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86" t="s">
        <v>4</v>
      </c>
      <c r="C6" s="286"/>
      <c r="D6" s="287"/>
      <c r="E6" s="381" t="s">
        <v>115</v>
      </c>
      <c r="F6" s="382"/>
      <c r="G6" s="382"/>
      <c r="H6" s="382"/>
      <c r="I6" s="399"/>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8" t="s">
        <v>78</v>
      </c>
      <c r="AP6" s="389"/>
      <c r="AQ6" s="389"/>
      <c r="AR6" s="389"/>
      <c r="AS6" s="389"/>
      <c r="AT6" s="39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86"/>
      <c r="C7" s="286"/>
      <c r="D7" s="287"/>
      <c r="E7" s="385"/>
      <c r="F7" s="384"/>
      <c r="G7" s="384"/>
      <c r="H7" s="384"/>
      <c r="I7" s="400"/>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91"/>
      <c r="AP7" s="392"/>
      <c r="AQ7" s="392"/>
      <c r="AR7" s="392"/>
      <c r="AS7" s="392"/>
      <c r="AT7" s="39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86"/>
      <c r="C8" s="286"/>
      <c r="D8" s="287"/>
      <c r="E8" s="385"/>
      <c r="F8" s="384"/>
      <c r="G8" s="384"/>
      <c r="H8" s="384"/>
      <c r="I8" s="400"/>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91"/>
      <c r="AP8" s="392"/>
      <c r="AQ8" s="392"/>
      <c r="AR8" s="392"/>
      <c r="AS8" s="392"/>
      <c r="AT8" s="39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86"/>
      <c r="C9" s="286"/>
      <c r="D9" s="287"/>
      <c r="E9" s="385"/>
      <c r="F9" s="384"/>
      <c r="G9" s="384"/>
      <c r="H9" s="384"/>
      <c r="I9" s="400"/>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91"/>
      <c r="AP9" s="392"/>
      <c r="AQ9" s="392"/>
      <c r="AR9" s="392"/>
      <c r="AS9" s="392"/>
      <c r="AT9" s="39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86"/>
      <c r="C10" s="286"/>
      <c r="D10" s="287"/>
      <c r="E10" s="385"/>
      <c r="F10" s="384"/>
      <c r="G10" s="384"/>
      <c r="H10" s="384"/>
      <c r="I10" s="400"/>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391"/>
      <c r="AP10" s="392"/>
      <c r="AQ10" s="392"/>
      <c r="AR10" s="392"/>
      <c r="AS10" s="392"/>
      <c r="AT10" s="39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86"/>
      <c r="C11" s="286"/>
      <c r="D11" s="287"/>
      <c r="E11" s="385"/>
      <c r="F11" s="384"/>
      <c r="G11" s="384"/>
      <c r="H11" s="384"/>
      <c r="I11" s="400"/>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391"/>
      <c r="AP11" s="392"/>
      <c r="AQ11" s="392"/>
      <c r="AR11" s="392"/>
      <c r="AS11" s="392"/>
      <c r="AT11" s="39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86"/>
      <c r="C12" s="286"/>
      <c r="D12" s="287"/>
      <c r="E12" s="385"/>
      <c r="F12" s="384"/>
      <c r="G12" s="384"/>
      <c r="H12" s="384"/>
      <c r="I12" s="400"/>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391"/>
      <c r="AP12" s="392"/>
      <c r="AQ12" s="392"/>
      <c r="AR12" s="392"/>
      <c r="AS12" s="392"/>
      <c r="AT12" s="39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86"/>
      <c r="C13" s="286"/>
      <c r="D13" s="287"/>
      <c r="E13" s="385"/>
      <c r="F13" s="384"/>
      <c r="G13" s="384"/>
      <c r="H13" s="384"/>
      <c r="I13" s="400"/>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391"/>
      <c r="AP13" s="392"/>
      <c r="AQ13" s="392"/>
      <c r="AR13" s="392"/>
      <c r="AS13" s="392"/>
      <c r="AT13" s="39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86"/>
      <c r="C14" s="286"/>
      <c r="D14" s="287"/>
      <c r="E14" s="385"/>
      <c r="F14" s="384"/>
      <c r="G14" s="384"/>
      <c r="H14" s="384"/>
      <c r="I14" s="400"/>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391"/>
      <c r="AP14" s="392"/>
      <c r="AQ14" s="392"/>
      <c r="AR14" s="392"/>
      <c r="AS14" s="392"/>
      <c r="AT14" s="39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86"/>
      <c r="C15" s="286"/>
      <c r="D15" s="287"/>
      <c r="E15" s="386"/>
      <c r="F15" s="387"/>
      <c r="G15" s="387"/>
      <c r="H15" s="387"/>
      <c r="I15" s="401"/>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394"/>
      <c r="AP15" s="395"/>
      <c r="AQ15" s="395"/>
      <c r="AR15" s="395"/>
      <c r="AS15" s="395"/>
      <c r="AT15" s="39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86"/>
      <c r="C16" s="286"/>
      <c r="D16" s="287"/>
      <c r="E16" s="381" t="s">
        <v>114</v>
      </c>
      <c r="F16" s="382"/>
      <c r="G16" s="382"/>
      <c r="H16" s="382"/>
      <c r="I16" s="382"/>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72" t="s">
        <v>79</v>
      </c>
      <c r="AP16" s="373"/>
      <c r="AQ16" s="373"/>
      <c r="AR16" s="373"/>
      <c r="AS16" s="373"/>
      <c r="AT16" s="374"/>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86"/>
      <c r="C17" s="286"/>
      <c r="D17" s="287"/>
      <c r="E17" s="383"/>
      <c r="F17" s="384"/>
      <c r="G17" s="384"/>
      <c r="H17" s="384"/>
      <c r="I17" s="384"/>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5"/>
      <c r="AP17" s="376"/>
      <c r="AQ17" s="376"/>
      <c r="AR17" s="376"/>
      <c r="AS17" s="376"/>
      <c r="AT17" s="377"/>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86"/>
      <c r="C18" s="286"/>
      <c r="D18" s="287"/>
      <c r="E18" s="385"/>
      <c r="F18" s="384"/>
      <c r="G18" s="384"/>
      <c r="H18" s="384"/>
      <c r="I18" s="384"/>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5"/>
      <c r="AP18" s="376"/>
      <c r="AQ18" s="376"/>
      <c r="AR18" s="376"/>
      <c r="AS18" s="376"/>
      <c r="AT18" s="377"/>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86"/>
      <c r="C19" s="286"/>
      <c r="D19" s="287"/>
      <c r="E19" s="385"/>
      <c r="F19" s="384"/>
      <c r="G19" s="384"/>
      <c r="H19" s="384"/>
      <c r="I19" s="384"/>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5"/>
      <c r="AP19" s="376"/>
      <c r="AQ19" s="376"/>
      <c r="AR19" s="376"/>
      <c r="AS19" s="376"/>
      <c r="AT19" s="377"/>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86"/>
      <c r="C20" s="286"/>
      <c r="D20" s="287"/>
      <c r="E20" s="385"/>
      <c r="F20" s="384"/>
      <c r="G20" s="384"/>
      <c r="H20" s="384"/>
      <c r="I20" s="384"/>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375"/>
      <c r="AP20" s="376"/>
      <c r="AQ20" s="376"/>
      <c r="AR20" s="376"/>
      <c r="AS20" s="376"/>
      <c r="AT20" s="377"/>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86"/>
      <c r="C21" s="286"/>
      <c r="D21" s="287"/>
      <c r="E21" s="385"/>
      <c r="F21" s="384"/>
      <c r="G21" s="384"/>
      <c r="H21" s="384"/>
      <c r="I21" s="384"/>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375"/>
      <c r="AP21" s="376"/>
      <c r="AQ21" s="376"/>
      <c r="AR21" s="376"/>
      <c r="AS21" s="376"/>
      <c r="AT21" s="377"/>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86"/>
      <c r="C22" s="286"/>
      <c r="D22" s="287"/>
      <c r="E22" s="385"/>
      <c r="F22" s="384"/>
      <c r="G22" s="384"/>
      <c r="H22" s="384"/>
      <c r="I22" s="384"/>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375"/>
      <c r="AP22" s="376"/>
      <c r="AQ22" s="376"/>
      <c r="AR22" s="376"/>
      <c r="AS22" s="376"/>
      <c r="AT22" s="37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86"/>
      <c r="C23" s="286"/>
      <c r="D23" s="287"/>
      <c r="E23" s="385"/>
      <c r="F23" s="384"/>
      <c r="G23" s="384"/>
      <c r="H23" s="384"/>
      <c r="I23" s="384"/>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375"/>
      <c r="AP23" s="376"/>
      <c r="AQ23" s="376"/>
      <c r="AR23" s="376"/>
      <c r="AS23" s="376"/>
      <c r="AT23" s="37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86"/>
      <c r="C24" s="286"/>
      <c r="D24" s="287"/>
      <c r="E24" s="385"/>
      <c r="F24" s="384"/>
      <c r="G24" s="384"/>
      <c r="H24" s="384"/>
      <c r="I24" s="384"/>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375"/>
      <c r="AP24" s="376"/>
      <c r="AQ24" s="376"/>
      <c r="AR24" s="376"/>
      <c r="AS24" s="376"/>
      <c r="AT24" s="37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86"/>
      <c r="C25" s="286"/>
      <c r="D25" s="287"/>
      <c r="E25" s="386"/>
      <c r="F25" s="387"/>
      <c r="G25" s="387"/>
      <c r="H25" s="387"/>
      <c r="I25" s="387"/>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378"/>
      <c r="AP25" s="379"/>
      <c r="AQ25" s="379"/>
      <c r="AR25" s="379"/>
      <c r="AS25" s="379"/>
      <c r="AT25" s="38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86"/>
      <c r="C26" s="286"/>
      <c r="D26" s="287"/>
      <c r="E26" s="381" t="s">
        <v>116</v>
      </c>
      <c r="F26" s="382"/>
      <c r="G26" s="382"/>
      <c r="H26" s="382"/>
      <c r="I26" s="399"/>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R1C1</v>
      </c>
      <c r="AC26" s="46" t="str">
        <f>IF(AND('Mapa final'!$Y$11="Media",'Mapa final'!$AA$11="Mayor"),CONCATENATE("R1C",'Mapa final'!$O$11),"")</f>
        <v>R1C2</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11" t="s">
        <v>80</v>
      </c>
      <c r="AP26" s="412"/>
      <c r="AQ26" s="412"/>
      <c r="AR26" s="412"/>
      <c r="AS26" s="412"/>
      <c r="AT26" s="413"/>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86"/>
      <c r="C27" s="286"/>
      <c r="D27" s="287"/>
      <c r="E27" s="383"/>
      <c r="F27" s="384"/>
      <c r="G27" s="384"/>
      <c r="H27" s="384"/>
      <c r="I27" s="400"/>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14"/>
      <c r="AP27" s="415"/>
      <c r="AQ27" s="415"/>
      <c r="AR27" s="415"/>
      <c r="AS27" s="415"/>
      <c r="AT27" s="416"/>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86"/>
      <c r="C28" s="286"/>
      <c r="D28" s="287"/>
      <c r="E28" s="385"/>
      <c r="F28" s="384"/>
      <c r="G28" s="384"/>
      <c r="H28" s="384"/>
      <c r="I28" s="400"/>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R3C1</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14"/>
      <c r="AP28" s="415"/>
      <c r="AQ28" s="415"/>
      <c r="AR28" s="415"/>
      <c r="AS28" s="415"/>
      <c r="AT28" s="416"/>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86"/>
      <c r="C29" s="286"/>
      <c r="D29" s="287"/>
      <c r="E29" s="385"/>
      <c r="F29" s="384"/>
      <c r="G29" s="384"/>
      <c r="H29" s="384"/>
      <c r="I29" s="400"/>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14"/>
      <c r="AP29" s="415"/>
      <c r="AQ29" s="415"/>
      <c r="AR29" s="415"/>
      <c r="AS29" s="415"/>
      <c r="AT29" s="416"/>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86"/>
      <c r="C30" s="286"/>
      <c r="D30" s="287"/>
      <c r="E30" s="385"/>
      <c r="F30" s="384"/>
      <c r="G30" s="384"/>
      <c r="H30" s="384"/>
      <c r="I30" s="400"/>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14"/>
      <c r="AP30" s="415"/>
      <c r="AQ30" s="415"/>
      <c r="AR30" s="415"/>
      <c r="AS30" s="415"/>
      <c r="AT30" s="41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86"/>
      <c r="C31" s="286"/>
      <c r="D31" s="287"/>
      <c r="E31" s="385"/>
      <c r="F31" s="384"/>
      <c r="G31" s="384"/>
      <c r="H31" s="384"/>
      <c r="I31" s="400"/>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14"/>
      <c r="AP31" s="415"/>
      <c r="AQ31" s="415"/>
      <c r="AR31" s="415"/>
      <c r="AS31" s="415"/>
      <c r="AT31" s="41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86"/>
      <c r="C32" s="286"/>
      <c r="D32" s="287"/>
      <c r="E32" s="385"/>
      <c r="F32" s="384"/>
      <c r="G32" s="384"/>
      <c r="H32" s="384"/>
      <c r="I32" s="400"/>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14"/>
      <c r="AP32" s="415"/>
      <c r="AQ32" s="415"/>
      <c r="AR32" s="415"/>
      <c r="AS32" s="415"/>
      <c r="AT32" s="41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86"/>
      <c r="C33" s="286"/>
      <c r="D33" s="287"/>
      <c r="E33" s="385"/>
      <c r="F33" s="384"/>
      <c r="G33" s="384"/>
      <c r="H33" s="384"/>
      <c r="I33" s="400"/>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14"/>
      <c r="AP33" s="415"/>
      <c r="AQ33" s="415"/>
      <c r="AR33" s="415"/>
      <c r="AS33" s="415"/>
      <c r="AT33" s="41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86"/>
      <c r="C34" s="286"/>
      <c r="D34" s="287"/>
      <c r="E34" s="385"/>
      <c r="F34" s="384"/>
      <c r="G34" s="384"/>
      <c r="H34" s="384"/>
      <c r="I34" s="400"/>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14"/>
      <c r="AP34" s="415"/>
      <c r="AQ34" s="415"/>
      <c r="AR34" s="415"/>
      <c r="AS34" s="415"/>
      <c r="AT34" s="41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86"/>
      <c r="C35" s="286"/>
      <c r="D35" s="287"/>
      <c r="E35" s="386"/>
      <c r="F35" s="387"/>
      <c r="G35" s="387"/>
      <c r="H35" s="387"/>
      <c r="I35" s="401"/>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17"/>
      <c r="AP35" s="418"/>
      <c r="AQ35" s="418"/>
      <c r="AR35" s="418"/>
      <c r="AS35" s="418"/>
      <c r="AT35" s="41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86"/>
      <c r="C36" s="286"/>
      <c r="D36" s="287"/>
      <c r="E36" s="381" t="s">
        <v>113</v>
      </c>
      <c r="F36" s="382"/>
      <c r="G36" s="382"/>
      <c r="H36" s="382"/>
      <c r="I36" s="382"/>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02" t="s">
        <v>81</v>
      </c>
      <c r="AP36" s="403"/>
      <c r="AQ36" s="403"/>
      <c r="AR36" s="403"/>
      <c r="AS36" s="403"/>
      <c r="AT36" s="40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86"/>
      <c r="C37" s="286"/>
      <c r="D37" s="287"/>
      <c r="E37" s="383"/>
      <c r="F37" s="384"/>
      <c r="G37" s="384"/>
      <c r="H37" s="384"/>
      <c r="I37" s="384"/>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05"/>
      <c r="AP37" s="406"/>
      <c r="AQ37" s="406"/>
      <c r="AR37" s="406"/>
      <c r="AS37" s="406"/>
      <c r="AT37" s="40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86"/>
      <c r="C38" s="286"/>
      <c r="D38" s="287"/>
      <c r="E38" s="385"/>
      <c r="F38" s="384"/>
      <c r="G38" s="384"/>
      <c r="H38" s="384"/>
      <c r="I38" s="384"/>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05"/>
      <c r="AP38" s="406"/>
      <c r="AQ38" s="406"/>
      <c r="AR38" s="406"/>
      <c r="AS38" s="406"/>
      <c r="AT38" s="407"/>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86"/>
      <c r="C39" s="286"/>
      <c r="D39" s="287"/>
      <c r="E39" s="385"/>
      <c r="F39" s="384"/>
      <c r="G39" s="384"/>
      <c r="H39" s="384"/>
      <c r="I39" s="384"/>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R4C1</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05"/>
      <c r="AP39" s="406"/>
      <c r="AQ39" s="406"/>
      <c r="AR39" s="406"/>
      <c r="AS39" s="406"/>
      <c r="AT39" s="407"/>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86"/>
      <c r="C40" s="286"/>
      <c r="D40" s="287"/>
      <c r="E40" s="385"/>
      <c r="F40" s="384"/>
      <c r="G40" s="384"/>
      <c r="H40" s="384"/>
      <c r="I40" s="384"/>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R5C1</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405"/>
      <c r="AP40" s="406"/>
      <c r="AQ40" s="406"/>
      <c r="AR40" s="406"/>
      <c r="AS40" s="406"/>
      <c r="AT40" s="407"/>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86"/>
      <c r="C41" s="286"/>
      <c r="D41" s="287"/>
      <c r="E41" s="385"/>
      <c r="F41" s="384"/>
      <c r="G41" s="384"/>
      <c r="H41" s="384"/>
      <c r="I41" s="384"/>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405"/>
      <c r="AP41" s="406"/>
      <c r="AQ41" s="406"/>
      <c r="AR41" s="406"/>
      <c r="AS41" s="406"/>
      <c r="AT41" s="407"/>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86"/>
      <c r="C42" s="286"/>
      <c r="D42" s="287"/>
      <c r="E42" s="385"/>
      <c r="F42" s="384"/>
      <c r="G42" s="384"/>
      <c r="H42" s="384"/>
      <c r="I42" s="384"/>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405"/>
      <c r="AP42" s="406"/>
      <c r="AQ42" s="406"/>
      <c r="AR42" s="406"/>
      <c r="AS42" s="406"/>
      <c r="AT42" s="407"/>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86"/>
      <c r="C43" s="286"/>
      <c r="D43" s="287"/>
      <c r="E43" s="385"/>
      <c r="F43" s="384"/>
      <c r="G43" s="384"/>
      <c r="H43" s="384"/>
      <c r="I43" s="384"/>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405"/>
      <c r="AP43" s="406"/>
      <c r="AQ43" s="406"/>
      <c r="AR43" s="406"/>
      <c r="AS43" s="406"/>
      <c r="AT43" s="407"/>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86"/>
      <c r="C44" s="286"/>
      <c r="D44" s="287"/>
      <c r="E44" s="385"/>
      <c r="F44" s="384"/>
      <c r="G44" s="384"/>
      <c r="H44" s="384"/>
      <c r="I44" s="384"/>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405"/>
      <c r="AP44" s="406"/>
      <c r="AQ44" s="406"/>
      <c r="AR44" s="406"/>
      <c r="AS44" s="406"/>
      <c r="AT44" s="407"/>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86"/>
      <c r="C45" s="286"/>
      <c r="D45" s="287"/>
      <c r="E45" s="386"/>
      <c r="F45" s="387"/>
      <c r="G45" s="387"/>
      <c r="H45" s="387"/>
      <c r="I45" s="387"/>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08"/>
      <c r="AP45" s="409"/>
      <c r="AQ45" s="409"/>
      <c r="AR45" s="409"/>
      <c r="AS45" s="409"/>
      <c r="AT45" s="410"/>
    </row>
    <row r="46" spans="1:80" ht="46.5" customHeight="1" x14ac:dyDescent="0.35">
      <c r="A46" s="82"/>
      <c r="B46" s="286"/>
      <c r="C46" s="286"/>
      <c r="D46" s="287"/>
      <c r="E46" s="381" t="s">
        <v>112</v>
      </c>
      <c r="F46" s="382"/>
      <c r="G46" s="382"/>
      <c r="H46" s="382"/>
      <c r="I46" s="399"/>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86"/>
      <c r="C47" s="286"/>
      <c r="D47" s="287"/>
      <c r="E47" s="383"/>
      <c r="F47" s="384"/>
      <c r="G47" s="384"/>
      <c r="H47" s="384"/>
      <c r="I47" s="400"/>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86"/>
      <c r="C48" s="286"/>
      <c r="D48" s="287"/>
      <c r="E48" s="383"/>
      <c r="F48" s="384"/>
      <c r="G48" s="384"/>
      <c r="H48" s="384"/>
      <c r="I48" s="400"/>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86"/>
      <c r="C49" s="286"/>
      <c r="D49" s="287"/>
      <c r="E49" s="385"/>
      <c r="F49" s="384"/>
      <c r="G49" s="384"/>
      <c r="H49" s="384"/>
      <c r="I49" s="400"/>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86"/>
      <c r="C50" s="286"/>
      <c r="D50" s="287"/>
      <c r="E50" s="385"/>
      <c r="F50" s="384"/>
      <c r="G50" s="384"/>
      <c r="H50" s="384"/>
      <c r="I50" s="400"/>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86"/>
      <c r="C51" s="286"/>
      <c r="D51" s="287"/>
      <c r="E51" s="385"/>
      <c r="F51" s="384"/>
      <c r="G51" s="384"/>
      <c r="H51" s="384"/>
      <c r="I51" s="400"/>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86"/>
      <c r="C52" s="286"/>
      <c r="D52" s="287"/>
      <c r="E52" s="385"/>
      <c r="F52" s="384"/>
      <c r="G52" s="384"/>
      <c r="H52" s="384"/>
      <c r="I52" s="400"/>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86"/>
      <c r="C53" s="286"/>
      <c r="D53" s="287"/>
      <c r="E53" s="385"/>
      <c r="F53" s="384"/>
      <c r="G53" s="384"/>
      <c r="H53" s="384"/>
      <c r="I53" s="400"/>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86"/>
      <c r="C54" s="286"/>
      <c r="D54" s="287"/>
      <c r="E54" s="385"/>
      <c r="F54" s="384"/>
      <c r="G54" s="384"/>
      <c r="H54" s="384"/>
      <c r="I54" s="400"/>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86"/>
      <c r="C55" s="286"/>
      <c r="D55" s="287"/>
      <c r="E55" s="386"/>
      <c r="F55" s="387"/>
      <c r="G55" s="387"/>
      <c r="H55" s="387"/>
      <c r="I55" s="401"/>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81" t="s">
        <v>111</v>
      </c>
      <c r="K56" s="382"/>
      <c r="L56" s="382"/>
      <c r="M56" s="382"/>
      <c r="N56" s="382"/>
      <c r="O56" s="399"/>
      <c r="P56" s="381" t="s">
        <v>110</v>
      </c>
      <c r="Q56" s="382"/>
      <c r="R56" s="382"/>
      <c r="S56" s="382"/>
      <c r="T56" s="382"/>
      <c r="U56" s="399"/>
      <c r="V56" s="381" t="s">
        <v>109</v>
      </c>
      <c r="W56" s="382"/>
      <c r="X56" s="382"/>
      <c r="Y56" s="382"/>
      <c r="Z56" s="382"/>
      <c r="AA56" s="399"/>
      <c r="AB56" s="381" t="s">
        <v>108</v>
      </c>
      <c r="AC56" s="420"/>
      <c r="AD56" s="382"/>
      <c r="AE56" s="382"/>
      <c r="AF56" s="382"/>
      <c r="AG56" s="399"/>
      <c r="AH56" s="381" t="s">
        <v>107</v>
      </c>
      <c r="AI56" s="382"/>
      <c r="AJ56" s="382"/>
      <c r="AK56" s="382"/>
      <c r="AL56" s="382"/>
      <c r="AM56" s="399"/>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85"/>
      <c r="K57" s="384"/>
      <c r="L57" s="384"/>
      <c r="M57" s="384"/>
      <c r="N57" s="384"/>
      <c r="O57" s="400"/>
      <c r="P57" s="385"/>
      <c r="Q57" s="384"/>
      <c r="R57" s="384"/>
      <c r="S57" s="384"/>
      <c r="T57" s="384"/>
      <c r="U57" s="400"/>
      <c r="V57" s="385"/>
      <c r="W57" s="384"/>
      <c r="X57" s="384"/>
      <c r="Y57" s="384"/>
      <c r="Z57" s="384"/>
      <c r="AA57" s="400"/>
      <c r="AB57" s="385"/>
      <c r="AC57" s="384"/>
      <c r="AD57" s="384"/>
      <c r="AE57" s="384"/>
      <c r="AF57" s="384"/>
      <c r="AG57" s="400"/>
      <c r="AH57" s="385"/>
      <c r="AI57" s="384"/>
      <c r="AJ57" s="384"/>
      <c r="AK57" s="384"/>
      <c r="AL57" s="384"/>
      <c r="AM57" s="400"/>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85"/>
      <c r="K58" s="384"/>
      <c r="L58" s="384"/>
      <c r="M58" s="384"/>
      <c r="N58" s="384"/>
      <c r="O58" s="400"/>
      <c r="P58" s="385"/>
      <c r="Q58" s="384"/>
      <c r="R58" s="384"/>
      <c r="S58" s="384"/>
      <c r="T58" s="384"/>
      <c r="U58" s="400"/>
      <c r="V58" s="385"/>
      <c r="W58" s="384"/>
      <c r="X58" s="384"/>
      <c r="Y58" s="384"/>
      <c r="Z58" s="384"/>
      <c r="AA58" s="400"/>
      <c r="AB58" s="385"/>
      <c r="AC58" s="384"/>
      <c r="AD58" s="384"/>
      <c r="AE58" s="384"/>
      <c r="AF58" s="384"/>
      <c r="AG58" s="400"/>
      <c r="AH58" s="385"/>
      <c r="AI58" s="384"/>
      <c r="AJ58" s="384"/>
      <c r="AK58" s="384"/>
      <c r="AL58" s="384"/>
      <c r="AM58" s="400"/>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85"/>
      <c r="K59" s="384"/>
      <c r="L59" s="384"/>
      <c r="M59" s="384"/>
      <c r="N59" s="384"/>
      <c r="O59" s="400"/>
      <c r="P59" s="385"/>
      <c r="Q59" s="384"/>
      <c r="R59" s="384"/>
      <c r="S59" s="384"/>
      <c r="T59" s="384"/>
      <c r="U59" s="400"/>
      <c r="V59" s="385"/>
      <c r="W59" s="384"/>
      <c r="X59" s="384"/>
      <c r="Y59" s="384"/>
      <c r="Z59" s="384"/>
      <c r="AA59" s="400"/>
      <c r="AB59" s="385"/>
      <c r="AC59" s="384"/>
      <c r="AD59" s="384"/>
      <c r="AE59" s="384"/>
      <c r="AF59" s="384"/>
      <c r="AG59" s="400"/>
      <c r="AH59" s="385"/>
      <c r="AI59" s="384"/>
      <c r="AJ59" s="384"/>
      <c r="AK59" s="384"/>
      <c r="AL59" s="384"/>
      <c r="AM59" s="400"/>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85"/>
      <c r="K60" s="384"/>
      <c r="L60" s="384"/>
      <c r="M60" s="384"/>
      <c r="N60" s="384"/>
      <c r="O60" s="400"/>
      <c r="P60" s="385"/>
      <c r="Q60" s="384"/>
      <c r="R60" s="384"/>
      <c r="S60" s="384"/>
      <c r="T60" s="384"/>
      <c r="U60" s="400"/>
      <c r="V60" s="385"/>
      <c r="W60" s="384"/>
      <c r="X60" s="384"/>
      <c r="Y60" s="384"/>
      <c r="Z60" s="384"/>
      <c r="AA60" s="400"/>
      <c r="AB60" s="385"/>
      <c r="AC60" s="384"/>
      <c r="AD60" s="384"/>
      <c r="AE60" s="384"/>
      <c r="AF60" s="384"/>
      <c r="AG60" s="400"/>
      <c r="AH60" s="385"/>
      <c r="AI60" s="384"/>
      <c r="AJ60" s="384"/>
      <c r="AK60" s="384"/>
      <c r="AL60" s="384"/>
      <c r="AM60" s="400"/>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86"/>
      <c r="K61" s="387"/>
      <c r="L61" s="387"/>
      <c r="M61" s="387"/>
      <c r="N61" s="387"/>
      <c r="O61" s="401"/>
      <c r="P61" s="386"/>
      <c r="Q61" s="387"/>
      <c r="R61" s="387"/>
      <c r="S61" s="387"/>
      <c r="T61" s="387"/>
      <c r="U61" s="401"/>
      <c r="V61" s="386"/>
      <c r="W61" s="387"/>
      <c r="X61" s="387"/>
      <c r="Y61" s="387"/>
      <c r="Z61" s="387"/>
      <c r="AA61" s="401"/>
      <c r="AB61" s="386"/>
      <c r="AC61" s="387"/>
      <c r="AD61" s="387"/>
      <c r="AE61" s="387"/>
      <c r="AF61" s="387"/>
      <c r="AG61" s="401"/>
      <c r="AH61" s="386"/>
      <c r="AI61" s="387"/>
      <c r="AJ61" s="387"/>
      <c r="AK61" s="387"/>
      <c r="AL61" s="387"/>
      <c r="AM61" s="40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4" sqref="C4"/>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21" t="s">
        <v>54</v>
      </c>
      <c r="C1" s="421"/>
      <c r="D1" s="421"/>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28"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22" t="s">
        <v>62</v>
      </c>
      <c r="C1" s="422"/>
      <c r="D1" s="422"/>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23" t="s">
        <v>77</v>
      </c>
      <c r="C1" s="424"/>
      <c r="D1" s="424"/>
      <c r="E1" s="424"/>
      <c r="F1" s="425"/>
    </row>
    <row r="2" spans="2:6" ht="16.5" thickBot="1" x14ac:dyDescent="0.3">
      <c r="B2" s="88"/>
      <c r="C2" s="88"/>
      <c r="D2" s="88"/>
      <c r="E2" s="88"/>
      <c r="F2" s="88"/>
    </row>
    <row r="3" spans="2:6" ht="16.5" thickBot="1" x14ac:dyDescent="0.25">
      <c r="B3" s="427" t="s">
        <v>63</v>
      </c>
      <c r="C3" s="428"/>
      <c r="D3" s="428"/>
      <c r="E3" s="100" t="s">
        <v>64</v>
      </c>
      <c r="F3" s="101" t="s">
        <v>65</v>
      </c>
    </row>
    <row r="4" spans="2:6" ht="31.5" x14ac:dyDescent="0.2">
      <c r="B4" s="429" t="s">
        <v>66</v>
      </c>
      <c r="C4" s="431" t="s">
        <v>13</v>
      </c>
      <c r="D4" s="89" t="s">
        <v>14</v>
      </c>
      <c r="E4" s="90" t="s">
        <v>67</v>
      </c>
      <c r="F4" s="91">
        <v>0.25</v>
      </c>
    </row>
    <row r="5" spans="2:6" ht="47.25" x14ac:dyDescent="0.2">
      <c r="B5" s="430"/>
      <c r="C5" s="432"/>
      <c r="D5" s="92" t="s">
        <v>15</v>
      </c>
      <c r="E5" s="93" t="s">
        <v>68</v>
      </c>
      <c r="F5" s="94">
        <v>0.15</v>
      </c>
    </row>
    <row r="6" spans="2:6" ht="47.25" x14ac:dyDescent="0.2">
      <c r="B6" s="430"/>
      <c r="C6" s="432"/>
      <c r="D6" s="92" t="s">
        <v>16</v>
      </c>
      <c r="E6" s="93" t="s">
        <v>69</v>
      </c>
      <c r="F6" s="94">
        <v>0.1</v>
      </c>
    </row>
    <row r="7" spans="2:6" ht="63" x14ac:dyDescent="0.2">
      <c r="B7" s="430"/>
      <c r="C7" s="432" t="s">
        <v>17</v>
      </c>
      <c r="D7" s="92" t="s">
        <v>10</v>
      </c>
      <c r="E7" s="93" t="s">
        <v>70</v>
      </c>
      <c r="F7" s="94">
        <v>0.25</v>
      </c>
    </row>
    <row r="8" spans="2:6" ht="31.5" x14ac:dyDescent="0.2">
      <c r="B8" s="430"/>
      <c r="C8" s="432"/>
      <c r="D8" s="92" t="s">
        <v>9</v>
      </c>
      <c r="E8" s="93" t="s">
        <v>71</v>
      </c>
      <c r="F8" s="94">
        <v>0.15</v>
      </c>
    </row>
    <row r="9" spans="2:6" ht="47.25" x14ac:dyDescent="0.2">
      <c r="B9" s="430" t="s">
        <v>160</v>
      </c>
      <c r="C9" s="432" t="s">
        <v>18</v>
      </c>
      <c r="D9" s="92" t="s">
        <v>19</v>
      </c>
      <c r="E9" s="93" t="s">
        <v>72</v>
      </c>
      <c r="F9" s="95" t="s">
        <v>73</v>
      </c>
    </row>
    <row r="10" spans="2:6" ht="63" x14ac:dyDescent="0.2">
      <c r="B10" s="430"/>
      <c r="C10" s="432"/>
      <c r="D10" s="92" t="s">
        <v>20</v>
      </c>
      <c r="E10" s="93" t="s">
        <v>74</v>
      </c>
      <c r="F10" s="95" t="s">
        <v>73</v>
      </c>
    </row>
    <row r="11" spans="2:6" ht="47.25" x14ac:dyDescent="0.2">
      <c r="B11" s="430"/>
      <c r="C11" s="432" t="s">
        <v>21</v>
      </c>
      <c r="D11" s="92" t="s">
        <v>22</v>
      </c>
      <c r="E11" s="93" t="s">
        <v>75</v>
      </c>
      <c r="F11" s="95" t="s">
        <v>73</v>
      </c>
    </row>
    <row r="12" spans="2:6" ht="47.25" x14ac:dyDescent="0.2">
      <c r="B12" s="430"/>
      <c r="C12" s="432"/>
      <c r="D12" s="92" t="s">
        <v>23</v>
      </c>
      <c r="E12" s="93" t="s">
        <v>76</v>
      </c>
      <c r="F12" s="95" t="s">
        <v>73</v>
      </c>
    </row>
    <row r="13" spans="2:6" ht="31.5" x14ac:dyDescent="0.2">
      <c r="B13" s="430"/>
      <c r="C13" s="432" t="s">
        <v>24</v>
      </c>
      <c r="D13" s="92" t="s">
        <v>118</v>
      </c>
      <c r="E13" s="93" t="s">
        <v>121</v>
      </c>
      <c r="F13" s="95" t="s">
        <v>73</v>
      </c>
    </row>
    <row r="14" spans="2:6" ht="32.25" thickBot="1" x14ac:dyDescent="0.25">
      <c r="B14" s="433"/>
      <c r="C14" s="434"/>
      <c r="D14" s="96" t="s">
        <v>119</v>
      </c>
      <c r="E14" s="97" t="s">
        <v>120</v>
      </c>
      <c r="F14" s="98" t="s">
        <v>73</v>
      </c>
    </row>
    <row r="15" spans="2:6" ht="49.5" customHeight="1" x14ac:dyDescent="0.2">
      <c r="B15" s="426" t="s">
        <v>157</v>
      </c>
      <c r="C15" s="426"/>
      <c r="D15" s="426"/>
      <c r="E15" s="426"/>
      <c r="F15" s="426"/>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2024-01-31T16:19:18Z</dcterms:modified>
</cp:coreProperties>
</file>