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hidePivotFieldList="1" defaultThemeVersion="124226"/>
  <mc:AlternateContent xmlns:mc="http://schemas.openxmlformats.org/markup-compatibility/2006">
    <mc:Choice Requires="x15">
      <x15ac:absPath xmlns:x15ac="http://schemas.microsoft.com/office/spreadsheetml/2010/11/ac" url="https://d.docs.live.net/afe9d5d49b096ca2/Escritorio/AREA  METROPOLITANA/POLITICA DE RIESGOS/2. VERSION 6/V2/"/>
    </mc:Choice>
  </mc:AlternateContent>
  <xr:revisionPtr revIDLastSave="24" documentId="13_ncr:1_{B3E127B5-A052-4F57-882E-C2BAA3F40DE6}" xr6:coauthVersionLast="47" xr6:coauthVersionMax="47" xr10:uidLastSave="{606F9AB0-B4F0-4E4A-9735-413E5E16DE62}"/>
  <bookViews>
    <workbookView xWindow="-108" yWindow="-108" windowWidth="23256" windowHeight="12456"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3" i="1" l="1"/>
  <c r="H49" i="1"/>
  <c r="K45" i="1"/>
  <c r="Q45" i="1"/>
  <c r="X46" i="1" s="1"/>
  <c r="T45" i="1"/>
  <c r="K46" i="1"/>
  <c r="Q46" i="1"/>
  <c r="AB46" i="1" s="1"/>
  <c r="AA46" i="1" s="1"/>
  <c r="T46" i="1"/>
  <c r="K47" i="1"/>
  <c r="Q47" i="1"/>
  <c r="AB48" i="1" s="1"/>
  <c r="AA48" i="1" s="1"/>
  <c r="T47" i="1"/>
  <c r="K48" i="1"/>
  <c r="Q48" i="1"/>
  <c r="T48" i="1"/>
  <c r="K44" i="1"/>
  <c r="Q44" i="1"/>
  <c r="X45" i="1" s="1"/>
  <c r="T44" i="1"/>
  <c r="T54" i="1"/>
  <c r="Q54" i="1"/>
  <c r="K54" i="1"/>
  <c r="T53" i="1"/>
  <c r="Q53" i="1"/>
  <c r="K53" i="1"/>
  <c r="T52" i="1"/>
  <c r="Q52" i="1"/>
  <c r="K52" i="1"/>
  <c r="L52" i="1" s="1"/>
  <c r="M52" i="1" s="1"/>
  <c r="AB52" i="1" s="1"/>
  <c r="AA52" i="1" s="1"/>
  <c r="H52" i="1"/>
  <c r="T51" i="1"/>
  <c r="Q51" i="1"/>
  <c r="K51" i="1"/>
  <c r="T50" i="1"/>
  <c r="Q50" i="1"/>
  <c r="AB50" i="1" s="1"/>
  <c r="AA50" i="1" s="1"/>
  <c r="K50" i="1"/>
  <c r="T49" i="1"/>
  <c r="Q49" i="1"/>
  <c r="K49" i="1"/>
  <c r="L49" i="1" s="1"/>
  <c r="M49" i="1" s="1"/>
  <c r="Q28" i="1"/>
  <c r="T10" i="1"/>
  <c r="Q10" i="1"/>
  <c r="H10" i="1"/>
  <c r="I10" i="1" s="1"/>
  <c r="K31" i="1"/>
  <c r="K66" i="1"/>
  <c r="K17" i="1"/>
  <c r="K29" i="1"/>
  <c r="K30" i="1"/>
  <c r="K35" i="1"/>
  <c r="K27" i="1"/>
  <c r="K36" i="1"/>
  <c r="K24" i="1"/>
  <c r="K62" i="1"/>
  <c r="K63" i="1"/>
  <c r="K38" i="1"/>
  <c r="K21" i="1"/>
  <c r="K19" i="1"/>
  <c r="K18" i="1"/>
  <c r="K32" i="1"/>
  <c r="K26" i="1"/>
  <c r="K33" i="1"/>
  <c r="K39" i="1"/>
  <c r="K20" i="1"/>
  <c r="K64" i="1"/>
  <c r="K23" i="1"/>
  <c r="K65" i="1"/>
  <c r="K40" i="1"/>
  <c r="K25" i="1"/>
  <c r="K41" i="1"/>
  <c r="K42" i="1"/>
  <c r="X48" i="1" l="1"/>
  <c r="Y46" i="1"/>
  <c r="AC46" i="1" s="1"/>
  <c r="Z46" i="1"/>
  <c r="Y45" i="1"/>
  <c r="Z45" i="1"/>
  <c r="AB45" i="1"/>
  <c r="AA45" i="1" s="1"/>
  <c r="X47" i="1"/>
  <c r="AB47" i="1"/>
  <c r="AA47" i="1" s="1"/>
  <c r="AB49" i="1"/>
  <c r="AA49" i="1" s="1"/>
  <c r="AB51" i="1"/>
  <c r="AA51" i="1" s="1"/>
  <c r="AB54" i="1"/>
  <c r="AA54" i="1" s="1"/>
  <c r="N49" i="1"/>
  <c r="N52" i="1"/>
  <c r="I49" i="1"/>
  <c r="X49" i="1" s="1"/>
  <c r="X50" i="1"/>
  <c r="I52" i="1"/>
  <c r="X52" i="1" s="1"/>
  <c r="X53" i="1"/>
  <c r="AB53" i="1"/>
  <c r="AA53" i="1" s="1"/>
  <c r="X54" i="1"/>
  <c r="X51" i="1"/>
  <c r="F221" i="13"/>
  <c r="F211" i="13"/>
  <c r="F212" i="13"/>
  <c r="F213" i="13"/>
  <c r="F214" i="13"/>
  <c r="F215" i="13"/>
  <c r="F216" i="13"/>
  <c r="F217" i="13"/>
  <c r="F218" i="13"/>
  <c r="F219" i="13"/>
  <c r="F220" i="13"/>
  <c r="F210" i="13"/>
  <c r="K15" i="1"/>
  <c r="K14" i="1"/>
  <c r="K11" i="1"/>
  <c r="K12" i="1"/>
  <c r="B221" i="13" a="1"/>
  <c r="K13" i="1"/>
  <c r="Y48" i="1" l="1"/>
  <c r="AC48" i="1" s="1"/>
  <c r="Z48" i="1"/>
  <c r="AC45" i="1"/>
  <c r="Y47" i="1"/>
  <c r="AC47" i="1" s="1"/>
  <c r="Z47" i="1"/>
  <c r="Z53" i="1"/>
  <c r="Y53" i="1"/>
  <c r="AC53" i="1" s="1"/>
  <c r="Y51" i="1"/>
  <c r="AC51" i="1" s="1"/>
  <c r="Z51" i="1"/>
  <c r="Z52" i="1"/>
  <c r="Y52" i="1"/>
  <c r="AC52" i="1" s="1"/>
  <c r="Y54" i="1"/>
  <c r="AC54" i="1" s="1"/>
  <c r="Z54" i="1"/>
  <c r="Z50" i="1"/>
  <c r="Y50" i="1"/>
  <c r="AC50" i="1" s="1"/>
  <c r="Z49" i="1"/>
  <c r="Y49" i="1"/>
  <c r="AC49" i="1" s="1"/>
  <c r="B221" i="13"/>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6" i="1" l="1"/>
  <c r="Q66" i="1"/>
  <c r="T65" i="1"/>
  <c r="Q65" i="1"/>
  <c r="T64" i="1"/>
  <c r="Q64" i="1"/>
  <c r="T63" i="1"/>
  <c r="Q63" i="1"/>
  <c r="T62" i="1"/>
  <c r="Q62" i="1"/>
  <c r="AB62" i="1" s="1"/>
  <c r="H61" i="1"/>
  <c r="I61" i="1" s="1"/>
  <c r="T43" i="1"/>
  <c r="H43" i="1"/>
  <c r="I43" i="1" s="1"/>
  <c r="T42" i="1"/>
  <c r="Q42" i="1"/>
  <c r="T41" i="1"/>
  <c r="Q41" i="1"/>
  <c r="T40" i="1"/>
  <c r="Q40" i="1"/>
  <c r="T37" i="1"/>
  <c r="Q37" i="1"/>
  <c r="H37" i="1"/>
  <c r="I37" i="1" s="1"/>
  <c r="T36" i="1"/>
  <c r="Q36" i="1"/>
  <c r="T35" i="1"/>
  <c r="Q35" i="1"/>
  <c r="T34" i="1"/>
  <c r="Q34" i="1"/>
  <c r="H34" i="1"/>
  <c r="I34" i="1" s="1"/>
  <c r="T33" i="1"/>
  <c r="Q33" i="1"/>
  <c r="T32" i="1"/>
  <c r="Q32" i="1"/>
  <c r="T31" i="1"/>
  <c r="Q31" i="1"/>
  <c r="T28" i="1"/>
  <c r="H28" i="1"/>
  <c r="I28" i="1" s="1"/>
  <c r="T27" i="1"/>
  <c r="Q27" i="1"/>
  <c r="T26" i="1"/>
  <c r="Q26" i="1"/>
  <c r="T25" i="1"/>
  <c r="Q25" i="1"/>
  <c r="T24" i="1"/>
  <c r="Q24" i="1"/>
  <c r="T22" i="1"/>
  <c r="Q22" i="1"/>
  <c r="H22" i="1"/>
  <c r="I22" i="1" s="1"/>
  <c r="H16" i="1"/>
  <c r="Q15" i="1"/>
  <c r="Q14" i="1"/>
  <c r="Q13" i="1"/>
  <c r="T21" i="1"/>
  <c r="Q21" i="1"/>
  <c r="T20" i="1"/>
  <c r="Q20" i="1"/>
  <c r="T19" i="1"/>
  <c r="Q19" i="1"/>
  <c r="T16" i="1"/>
  <c r="Q16" i="1"/>
  <c r="X44" i="1" l="1"/>
  <c r="AB44" i="1"/>
  <c r="AA44" i="1" s="1"/>
  <c r="I16" i="1"/>
  <c r="X16" i="1" s="1"/>
  <c r="X43" i="1"/>
  <c r="X37" i="1"/>
  <c r="X34" i="1"/>
  <c r="X28" i="1"/>
  <c r="X22" i="1"/>
  <c r="Y44" i="1" l="1"/>
  <c r="AC44" i="1" s="1"/>
  <c r="Z44" i="1"/>
  <c r="X62" i="1"/>
  <c r="Y62" i="1" s="1"/>
  <c r="Y43" i="1"/>
  <c r="Z43" i="1"/>
  <c r="Y37" i="1"/>
  <c r="Z37" i="1"/>
  <c r="Y34" i="1"/>
  <c r="Z34" i="1"/>
  <c r="Y28" i="1"/>
  <c r="Z28" i="1"/>
  <c r="Y22" i="1"/>
  <c r="Z22" i="1"/>
  <c r="Y16" i="1"/>
  <c r="Z16" i="1"/>
  <c r="X24" i="1" l="1"/>
  <c r="Y24" i="1" s="1"/>
  <c r="Z62" i="1"/>
  <c r="X63" i="1" s="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T12" i="1"/>
  <c r="T13" i="1"/>
  <c r="T14" i="1"/>
  <c r="T15" i="1"/>
  <c r="Z24" i="1" l="1"/>
  <c r="X25" i="1" s="1"/>
  <c r="Z25" i="1" s="1"/>
  <c r="Y63" i="1"/>
  <c r="Z63" i="1"/>
  <c r="X64" i="1" s="1"/>
  <c r="X40" i="1"/>
  <c r="X32" i="1"/>
  <c r="Y32" i="1" s="1"/>
  <c r="X31" i="1"/>
  <c r="X35" i="1" l="1"/>
  <c r="Y25" i="1"/>
  <c r="Y40" i="1"/>
  <c r="Z40" i="1"/>
  <c r="X41" i="1" s="1"/>
  <c r="Y41" i="1" s="1"/>
  <c r="X26" i="1"/>
  <c r="Z64" i="1"/>
  <c r="Y64" i="1"/>
  <c r="Y31" i="1"/>
  <c r="Z31" i="1"/>
  <c r="Z32" i="1"/>
  <c r="X33" i="1" s="1"/>
  <c r="X19" i="1"/>
  <c r="Y19" i="1" s="1"/>
  <c r="Q12" i="1"/>
  <c r="X65" i="1" l="1"/>
  <c r="X66" i="1"/>
  <c r="Z41" i="1"/>
  <c r="X42" i="1" s="1"/>
  <c r="Y42" i="1" s="1"/>
  <c r="Z35" i="1"/>
  <c r="X36" i="1" s="1"/>
  <c r="Y35" i="1"/>
  <c r="Y26" i="1"/>
  <c r="Z26" i="1"/>
  <c r="X27" i="1" s="1"/>
  <c r="Y27" i="1" s="1"/>
  <c r="Y33" i="1"/>
  <c r="Z33" i="1"/>
  <c r="Z19" i="1"/>
  <c r="X20" i="1" s="1"/>
  <c r="Z20" i="1" s="1"/>
  <c r="X21" i="1" s="1"/>
  <c r="X10" i="1"/>
  <c r="Y10" i="1" s="1"/>
  <c r="Y66" i="1" l="1"/>
  <c r="Z66" i="1"/>
  <c r="Y65" i="1"/>
  <c r="Z65" i="1"/>
  <c r="Y36" i="1"/>
  <c r="Z36" i="1"/>
  <c r="Z42" i="1"/>
  <c r="Z27" i="1"/>
  <c r="Y20" i="1"/>
  <c r="Y21" i="1"/>
  <c r="Z21" i="1"/>
  <c r="Z10" i="1" l="1"/>
  <c r="X12" i="1" l="1"/>
  <c r="Y12" i="1" s="1"/>
  <c r="Z12" i="1" l="1"/>
  <c r="X13" i="1" s="1"/>
  <c r="Z13" i="1" l="1"/>
  <c r="X14" i="1" s="1"/>
  <c r="Y14" i="1" l="1"/>
  <c r="Z14" i="1"/>
  <c r="X15" i="1" s="1"/>
  <c r="Y13" i="1"/>
  <c r="Y15" i="1" l="1"/>
  <c r="Z15" i="1"/>
  <c r="AB63" i="1" l="1"/>
  <c r="AB24" i="1" l="1"/>
  <c r="AA62" i="1"/>
  <c r="AB12" i="1"/>
  <c r="AA63" i="1"/>
  <c r="AB64" i="1"/>
  <c r="AB40"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64" i="1"/>
  <c r="AB65" i="1"/>
  <c r="K35" i="19"/>
  <c r="AC25" i="19"/>
  <c r="K45" i="19"/>
  <c r="AI45" i="19"/>
  <c r="W45" i="19"/>
  <c r="Q35" i="19"/>
  <c r="K55" i="19"/>
  <c r="AC15" i="19"/>
  <c r="Q15" i="19"/>
  <c r="AC35" i="19"/>
  <c r="AI35" i="19"/>
  <c r="Q55" i="19"/>
  <c r="AI25" i="19"/>
  <c r="AC62"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D55" i="19"/>
  <c r="R15" i="19"/>
  <c r="AJ35" i="19"/>
  <c r="AC63" i="1"/>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B19" i="1"/>
  <c r="AB31" i="1"/>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24" i="1"/>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A40" i="1"/>
  <c r="AB42" i="1"/>
  <c r="AA42" i="1" s="1"/>
  <c r="AB41" i="1"/>
  <c r="AA41" i="1" s="1"/>
  <c r="AB13" i="1"/>
  <c r="AA13" i="1" s="1"/>
  <c r="AA12" i="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A14" i="1" l="1"/>
  <c r="AB15" i="1"/>
  <c r="AA15" i="1" s="1"/>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65" i="1"/>
  <c r="AB66" i="1"/>
  <c r="AA66"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B26" i="1"/>
  <c r="AA26" i="1" s="1"/>
  <c r="AA25" i="1"/>
  <c r="AB27" i="1"/>
  <c r="AA27" i="1" s="1"/>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4"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1"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2" i="1"/>
  <c r="AG11" i="19"/>
  <c r="AM41" i="19"/>
  <c r="AA21" i="19"/>
  <c r="AA51" i="19"/>
  <c r="U51" i="19"/>
  <c r="U31" i="19"/>
  <c r="AA11" i="19"/>
  <c r="AG21" i="19"/>
  <c r="O31" i="19"/>
  <c r="AA31" i="1"/>
  <c r="AB32" i="1"/>
  <c r="AA32" i="1" s="1"/>
  <c r="AB33" i="1"/>
  <c r="AA33" i="1" s="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AB35" i="1"/>
  <c r="AE11" i="19"/>
  <c r="Y41" i="19"/>
  <c r="M41" i="19"/>
  <c r="Y21" i="19"/>
  <c r="AK41" i="19"/>
  <c r="S31" i="19"/>
  <c r="M31" i="19"/>
  <c r="M51" i="19"/>
  <c r="Y51" i="19"/>
  <c r="AK21" i="19"/>
  <c r="AK31" i="19"/>
  <c r="Y11" i="19"/>
  <c r="AE41" i="19"/>
  <c r="AE21" i="19"/>
  <c r="S51" i="19"/>
  <c r="AE51" i="19"/>
  <c r="AK51" i="19"/>
  <c r="M21" i="19"/>
  <c r="AE31" i="19"/>
  <c r="AC40"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A35" i="1" l="1"/>
  <c r="AB36" i="1"/>
  <c r="AA36"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6"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5"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37" i="1" l="1"/>
  <c r="L37" i="1" s="1"/>
  <c r="K10" i="1"/>
  <c r="L10" i="1" s="1"/>
  <c r="K28" i="1"/>
  <c r="L28" i="1" s="1"/>
  <c r="K22" i="1"/>
  <c r="L22" i="1" s="1"/>
  <c r="K43" i="1"/>
  <c r="L43" i="1" s="1"/>
  <c r="K34" i="1"/>
  <c r="L34" i="1" s="1"/>
  <c r="K16" i="1"/>
  <c r="L16" i="1" s="1"/>
  <c r="K61" i="1"/>
  <c r="L61" i="1" s="1"/>
  <c r="X6" i="18" l="1"/>
  <c r="AJ30" i="18"/>
  <c r="R22" i="18"/>
  <c r="L6" i="18"/>
  <c r="R30" i="18"/>
  <c r="X22" i="18"/>
  <c r="X38" i="18"/>
  <c r="AD38" i="18"/>
  <c r="N16" i="1"/>
  <c r="AD22" i="18"/>
  <c r="M16" i="1"/>
  <c r="AB16" i="1" s="1"/>
  <c r="AA16"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34" i="1"/>
  <c r="L32" i="18"/>
  <c r="X8" i="18"/>
  <c r="X24" i="18"/>
  <c r="AJ8" i="18"/>
  <c r="M34" i="1"/>
  <c r="AB34" i="1" s="1"/>
  <c r="AA34" i="1" s="1"/>
  <c r="R40" i="18"/>
  <c r="L40" i="18"/>
  <c r="X16" i="18"/>
  <c r="L24" i="18"/>
  <c r="AJ24" i="18"/>
  <c r="X32" i="18"/>
  <c r="AJ40" i="18"/>
  <c r="R16" i="18"/>
  <c r="AD40" i="18"/>
  <c r="AD32" i="18"/>
  <c r="AD16" i="18"/>
  <c r="M43" i="1"/>
  <c r="AB43" i="1" s="1"/>
  <c r="AA43" i="1" s="1"/>
  <c r="J42" i="18"/>
  <c r="P34" i="18"/>
  <c r="AB18" i="18"/>
  <c r="AB42" i="18"/>
  <c r="AH34" i="18"/>
  <c r="P10" i="18"/>
  <c r="V34" i="18"/>
  <c r="P42" i="18"/>
  <c r="V42" i="18"/>
  <c r="AH42" i="18"/>
  <c r="AB26" i="18"/>
  <c r="AH26" i="18"/>
  <c r="V26" i="18"/>
  <c r="AB34" i="18"/>
  <c r="V10" i="18"/>
  <c r="AH18" i="18"/>
  <c r="J34" i="18"/>
  <c r="J10" i="18"/>
  <c r="AB10" i="18"/>
  <c r="J18" i="18"/>
  <c r="N43" i="1"/>
  <c r="P26" i="18"/>
  <c r="J26" i="18"/>
  <c r="AH10" i="18"/>
  <c r="P18" i="18"/>
  <c r="V18" i="18"/>
  <c r="X42" i="18"/>
  <c r="AD34" i="18"/>
  <c r="AD10" i="18"/>
  <c r="AD26" i="18"/>
  <c r="L10" i="18"/>
  <c r="L42" i="18"/>
  <c r="L26" i="18"/>
  <c r="X18" i="18"/>
  <c r="X34" i="18"/>
  <c r="X10" i="18"/>
  <c r="R18" i="18"/>
  <c r="AJ10" i="18"/>
  <c r="AD42" i="18"/>
  <c r="AJ34" i="18"/>
  <c r="R26" i="18"/>
  <c r="L18" i="18"/>
  <c r="AJ26" i="18"/>
  <c r="AD18" i="18"/>
  <c r="R34" i="18"/>
  <c r="L34" i="18"/>
  <c r="AJ42" i="18"/>
  <c r="R10" i="18"/>
  <c r="R42" i="18"/>
  <c r="X26" i="18"/>
  <c r="AJ18" i="18"/>
  <c r="T14" i="18"/>
  <c r="AL38" i="18"/>
  <c r="N14" i="18"/>
  <c r="Z6" i="18"/>
  <c r="T38" i="18"/>
  <c r="T22" i="18"/>
  <c r="AL14" i="18"/>
  <c r="N22" i="18"/>
  <c r="N22" i="1"/>
  <c r="AF22" i="18"/>
  <c r="N6" i="18"/>
  <c r="AF6" i="18"/>
  <c r="AF38" i="18"/>
  <c r="M22" i="1"/>
  <c r="AB22" i="1" s="1"/>
  <c r="AA22" i="1" s="1"/>
  <c r="N38" i="18"/>
  <c r="AL30" i="18"/>
  <c r="AL22" i="18"/>
  <c r="T6" i="18"/>
  <c r="AF14" i="18"/>
  <c r="AF30" i="18"/>
  <c r="Z22" i="18"/>
  <c r="T30" i="18"/>
  <c r="Z30" i="18"/>
  <c r="AL6" i="18"/>
  <c r="Z14" i="18"/>
  <c r="Z38" i="18"/>
  <c r="N30" i="18"/>
  <c r="J40" i="18"/>
  <c r="AB40" i="18"/>
  <c r="AH32" i="18"/>
  <c r="AB24" i="18"/>
  <c r="V16" i="18"/>
  <c r="M28" i="1"/>
  <c r="AB28" i="1" s="1"/>
  <c r="J16" i="18"/>
  <c r="P32" i="18"/>
  <c r="V24" i="18"/>
  <c r="P24" i="18"/>
  <c r="V40" i="18"/>
  <c r="P16" i="18"/>
  <c r="P40" i="18"/>
  <c r="V32" i="18"/>
  <c r="AH16" i="18"/>
  <c r="AB16" i="18"/>
  <c r="V8" i="18"/>
  <c r="AH24" i="18"/>
  <c r="AH8" i="18"/>
  <c r="AH40" i="18"/>
  <c r="J8" i="18"/>
  <c r="AB32" i="18"/>
  <c r="AB8" i="18"/>
  <c r="J24" i="18"/>
  <c r="J32" i="18"/>
  <c r="P8" i="18"/>
  <c r="N28" i="1"/>
  <c r="Z42" i="18"/>
  <c r="T18" i="18"/>
  <c r="AF34" i="18"/>
  <c r="AF42" i="18"/>
  <c r="N42" i="18"/>
  <c r="Z18" i="18"/>
  <c r="AL10" i="18"/>
  <c r="AL26" i="18"/>
  <c r="AF26" i="18"/>
  <c r="Z10" i="18"/>
  <c r="N18" i="18"/>
  <c r="T26" i="18"/>
  <c r="AF10" i="18"/>
  <c r="T34" i="18"/>
  <c r="N26" i="18"/>
  <c r="AL18" i="18"/>
  <c r="N10" i="18"/>
  <c r="AF18" i="18"/>
  <c r="Z26" i="18"/>
  <c r="AL34" i="18"/>
  <c r="Z34" i="18"/>
  <c r="T10" i="18"/>
  <c r="AL42" i="18"/>
  <c r="N34" i="18"/>
  <c r="T42" i="18"/>
  <c r="P14" i="18"/>
  <c r="V22" i="18"/>
  <c r="V14" i="18"/>
  <c r="P22" i="18"/>
  <c r="V38" i="18"/>
  <c r="AH14" i="18"/>
  <c r="AH38" i="18"/>
  <c r="J14" i="18"/>
  <c r="AB22" i="18"/>
  <c r="V30" i="18"/>
  <c r="AB14" i="18"/>
  <c r="AB38" i="18"/>
  <c r="J30" i="18"/>
  <c r="P38" i="18"/>
  <c r="AB6" i="18"/>
  <c r="M10" i="1"/>
  <c r="AB10" i="1" s="1"/>
  <c r="AA10" i="1" s="1"/>
  <c r="AH30" i="18"/>
  <c r="J38" i="18"/>
  <c r="AH6" i="18"/>
  <c r="V6" i="18"/>
  <c r="AB30" i="18"/>
  <c r="J22" i="18"/>
  <c r="J6" i="18"/>
  <c r="P30" i="18"/>
  <c r="AH22" i="18"/>
  <c r="P6" i="18"/>
  <c r="N10" i="1"/>
  <c r="AH12" i="18"/>
  <c r="J20" i="18"/>
  <c r="J44" i="18"/>
  <c r="AB28" i="18"/>
  <c r="P28" i="18"/>
  <c r="N61" i="1"/>
  <c r="P12" i="18"/>
  <c r="AH20" i="18"/>
  <c r="P44" i="18"/>
  <c r="AB12" i="18"/>
  <c r="P20" i="18"/>
  <c r="J36" i="18"/>
  <c r="P36" i="18"/>
  <c r="AB44" i="18"/>
  <c r="V44" i="18"/>
  <c r="J28" i="18"/>
  <c r="AH36" i="18"/>
  <c r="V12" i="18"/>
  <c r="V28" i="18"/>
  <c r="AH44" i="18"/>
  <c r="AB20" i="18"/>
  <c r="AB36" i="18"/>
  <c r="AH28" i="18"/>
  <c r="V36" i="18"/>
  <c r="V20" i="18"/>
  <c r="M61" i="1"/>
  <c r="J12" i="18"/>
  <c r="AF24" i="18"/>
  <c r="AF32" i="18"/>
  <c r="T40" i="18"/>
  <c r="M37" i="1"/>
  <c r="AB37" i="1" s="1"/>
  <c r="Z40" i="18"/>
  <c r="AL8" i="18"/>
  <c r="AF8" i="18"/>
  <c r="T8" i="18"/>
  <c r="Z16" i="18"/>
  <c r="T24" i="18"/>
  <c r="AL24" i="18"/>
  <c r="Z32" i="18"/>
  <c r="N32" i="18"/>
  <c r="N16" i="18"/>
  <c r="Z8" i="18"/>
  <c r="AL40" i="18"/>
  <c r="N8" i="18"/>
  <c r="N24" i="18"/>
  <c r="T32" i="18"/>
  <c r="T16" i="18"/>
  <c r="AF40" i="18"/>
  <c r="AF16" i="18"/>
  <c r="AL32" i="18"/>
  <c r="N40" i="18"/>
  <c r="Z24" i="18"/>
  <c r="AL16" i="18"/>
  <c r="N37" i="1"/>
  <c r="AH23" i="19" l="1"/>
  <c r="AB53" i="19"/>
  <c r="V23" i="19"/>
  <c r="P53" i="19"/>
  <c r="J33" i="19"/>
  <c r="AH53" i="19"/>
  <c r="J23" i="19"/>
  <c r="V33" i="19"/>
  <c r="J53" i="19"/>
  <c r="V43" i="19"/>
  <c r="V53" i="19"/>
  <c r="P23" i="19"/>
  <c r="AB33" i="19"/>
  <c r="AB43" i="19"/>
  <c r="P13" i="19"/>
  <c r="AH43" i="19"/>
  <c r="J13" i="19"/>
  <c r="AH33" i="19"/>
  <c r="AB13" i="19"/>
  <c r="V13" i="19"/>
  <c r="P43" i="19"/>
  <c r="J43" i="19"/>
  <c r="AH13" i="19"/>
  <c r="P33" i="19"/>
  <c r="AB23" i="19"/>
  <c r="AH34" i="19"/>
  <c r="V14" i="19"/>
  <c r="J14" i="19"/>
  <c r="AB34" i="19"/>
  <c r="V44" i="19"/>
  <c r="J44" i="19"/>
  <c r="AB44" i="19"/>
  <c r="P54" i="19"/>
  <c r="AB54" i="19"/>
  <c r="J54" i="19"/>
  <c r="AH24" i="19"/>
  <c r="P14" i="19"/>
  <c r="P34" i="19"/>
  <c r="J24" i="19"/>
  <c r="AH14" i="19"/>
  <c r="AH54" i="19"/>
  <c r="AH44" i="19"/>
  <c r="V34" i="19"/>
  <c r="V24" i="19"/>
  <c r="J34" i="19"/>
  <c r="P44" i="19"/>
  <c r="V54" i="19"/>
  <c r="AB24" i="19"/>
  <c r="AB14" i="19"/>
  <c r="P24" i="19"/>
  <c r="V22" i="19"/>
  <c r="AB32" i="19"/>
  <c r="P22" i="19"/>
  <c r="AB42" i="19"/>
  <c r="AH12" i="19"/>
  <c r="P52" i="19"/>
  <c r="AB12" i="19"/>
  <c r="AH52" i="19"/>
  <c r="J22" i="19"/>
  <c r="V32" i="19"/>
  <c r="J52" i="19"/>
  <c r="P12" i="19"/>
  <c r="V42" i="19"/>
  <c r="AC43" i="1"/>
  <c r="AH32" i="19"/>
  <c r="P42" i="19"/>
  <c r="J12" i="19"/>
  <c r="J42" i="19"/>
  <c r="V12" i="19"/>
  <c r="J32" i="19"/>
  <c r="AH42" i="19"/>
  <c r="V52" i="19"/>
  <c r="AB52" i="19"/>
  <c r="P32" i="19"/>
  <c r="AB22" i="19"/>
  <c r="AH22" i="19"/>
  <c r="AA37" i="1"/>
  <c r="AH10" i="19"/>
  <c r="AB10" i="19"/>
  <c r="P20" i="19"/>
  <c r="V30" i="19"/>
  <c r="AB20" i="19"/>
  <c r="P10" i="19"/>
  <c r="AH30" i="19"/>
  <c r="J20" i="19"/>
  <c r="J40" i="19"/>
  <c r="J50" i="19"/>
  <c r="J10" i="19"/>
  <c r="V40" i="19"/>
  <c r="AB30" i="19"/>
  <c r="AB50" i="19"/>
  <c r="AH40" i="19"/>
  <c r="P40" i="19"/>
  <c r="AB40" i="19"/>
  <c r="AH20" i="19"/>
  <c r="P30" i="19"/>
  <c r="AH50" i="19"/>
  <c r="P50" i="19"/>
  <c r="V10" i="19"/>
  <c r="J30" i="19"/>
  <c r="V50" i="19"/>
  <c r="AC34" i="1"/>
  <c r="V20" i="19"/>
  <c r="AA28" i="1"/>
  <c r="V9" i="19" s="1"/>
  <c r="AH7" i="19"/>
  <c r="J27" i="19"/>
  <c r="P37" i="19"/>
  <c r="J37" i="19"/>
  <c r="P7" i="19"/>
  <c r="AC16" i="1"/>
  <c r="AH27" i="19"/>
  <c r="V27" i="19"/>
  <c r="AH47" i="19"/>
  <c r="AB47" i="19"/>
  <c r="P47" i="19"/>
  <c r="V7" i="19"/>
  <c r="AB17" i="19"/>
  <c r="P17" i="19"/>
  <c r="J47" i="19"/>
  <c r="V17" i="19"/>
  <c r="AB27" i="19"/>
  <c r="AH37" i="19"/>
  <c r="J7" i="19"/>
  <c r="J17" i="19"/>
  <c r="P27" i="19"/>
  <c r="V37" i="19"/>
  <c r="V47" i="19"/>
  <c r="AB7" i="19"/>
  <c r="AH17" i="19"/>
  <c r="AB37" i="19"/>
  <c r="P18" i="19"/>
  <c r="J48" i="19"/>
  <c r="AB8" i="19"/>
  <c r="AB28" i="19"/>
  <c r="AH28" i="19"/>
  <c r="V48" i="19"/>
  <c r="V28" i="19"/>
  <c r="P28" i="19"/>
  <c r="P38" i="19"/>
  <c r="P48" i="19"/>
  <c r="J8" i="19"/>
  <c r="AH48" i="19"/>
  <c r="AB48" i="19"/>
  <c r="V18" i="19"/>
  <c r="J28" i="19"/>
  <c r="V38" i="19"/>
  <c r="AB38" i="19"/>
  <c r="P8" i="19"/>
  <c r="V8" i="19"/>
  <c r="AC22" i="1"/>
  <c r="AH38" i="19"/>
  <c r="AB18" i="19"/>
  <c r="J18" i="19"/>
  <c r="AH8" i="19"/>
  <c r="AH18" i="19"/>
  <c r="J38" i="19"/>
  <c r="P16" i="19"/>
  <c r="P6" i="19"/>
  <c r="AH6" i="19"/>
  <c r="V46" i="19"/>
  <c r="AH46" i="19"/>
  <c r="AB46" i="19"/>
  <c r="J6" i="19"/>
  <c r="P46" i="19"/>
  <c r="AB26" i="19"/>
  <c r="AB16" i="19"/>
  <c r="AH26" i="19"/>
  <c r="J16" i="19"/>
  <c r="V26" i="19"/>
  <c r="AH36" i="19"/>
  <c r="P26" i="19"/>
  <c r="V16" i="19"/>
  <c r="V36" i="19"/>
  <c r="AC10" i="1"/>
  <c r="AH16" i="19"/>
  <c r="V6" i="19"/>
  <c r="AB36" i="19"/>
  <c r="AB6" i="19"/>
  <c r="P36" i="19"/>
  <c r="J36" i="19"/>
  <c r="J26" i="19"/>
  <c r="J46" i="19"/>
  <c r="V25" i="19"/>
  <c r="V45" i="19"/>
  <c r="J15" i="19"/>
  <c r="AB45" i="19"/>
  <c r="AH25" i="19"/>
  <c r="AH55" i="19"/>
  <c r="AB15" i="19"/>
  <c r="P15" i="19"/>
  <c r="P45" i="19"/>
  <c r="V15" i="19"/>
  <c r="J35" i="19"/>
  <c r="AH45" i="19"/>
  <c r="J25" i="19"/>
  <c r="AB35" i="19"/>
  <c r="AH15" i="19"/>
  <c r="V35" i="19"/>
  <c r="J55" i="19"/>
  <c r="AB55" i="19"/>
  <c r="AB25" i="19"/>
  <c r="AH35" i="19"/>
  <c r="P55" i="19"/>
  <c r="J45" i="19"/>
  <c r="P25" i="19"/>
  <c r="P35" i="19"/>
  <c r="V55" i="19"/>
  <c r="V29" i="19" l="1"/>
  <c r="J9" i="19"/>
  <c r="J49" i="19"/>
  <c r="AC28" i="1"/>
  <c r="AH39" i="19"/>
  <c r="P39" i="19"/>
  <c r="AB39" i="19"/>
  <c r="P31" i="19"/>
  <c r="AB51" i="19"/>
  <c r="AH31" i="19"/>
  <c r="AH41" i="19"/>
  <c r="J31" i="19"/>
  <c r="P21" i="19"/>
  <c r="V51" i="19"/>
  <c r="AH51" i="19"/>
  <c r="AB41" i="19"/>
  <c r="V41" i="19"/>
  <c r="J51" i="19"/>
  <c r="AC37" i="1"/>
  <c r="AH21" i="19"/>
  <c r="V31" i="19"/>
  <c r="AH11" i="19"/>
  <c r="J11" i="19"/>
  <c r="P41" i="19"/>
  <c r="AB11" i="19"/>
  <c r="J41" i="19"/>
  <c r="AB31" i="19"/>
  <c r="V11" i="19"/>
  <c r="J21" i="19"/>
  <c r="P51" i="19"/>
  <c r="P11" i="19"/>
  <c r="AB21" i="19"/>
  <c r="V21" i="19"/>
  <c r="P49" i="19"/>
  <c r="AH29" i="19"/>
  <c r="AB29" i="19"/>
  <c r="V49" i="19"/>
  <c r="AH9" i="19"/>
  <c r="J39" i="19"/>
  <c r="AH19" i="19"/>
  <c r="V19" i="19"/>
  <c r="AH49" i="19"/>
  <c r="AB19" i="19"/>
  <c r="AB49" i="19"/>
  <c r="AB9" i="19"/>
  <c r="V39" i="19"/>
  <c r="J19" i="19"/>
  <c r="P29" i="19"/>
  <c r="P19" i="19"/>
  <c r="P9" i="19"/>
  <c r="J29" i="19"/>
  <c r="W11" i="19" l="1"/>
  <c r="AC41" i="19"/>
  <c r="K21" i="19"/>
  <c r="K51" i="19"/>
  <c r="Q51" i="19"/>
  <c r="AC21" i="19"/>
  <c r="AI31" i="19"/>
  <c r="Q21" i="19"/>
  <c r="AI41" i="19"/>
  <c r="Q11" i="19"/>
  <c r="W21" i="19"/>
  <c r="K31" i="19"/>
  <c r="Q41" i="19"/>
  <c r="AC11" i="19"/>
  <c r="W51" i="19"/>
  <c r="K11" i="19"/>
  <c r="AI51" i="19"/>
  <c r="AC31" i="19"/>
  <c r="AI11" i="19"/>
  <c r="W41" i="19"/>
  <c r="Q31" i="19"/>
  <c r="AC51" i="19"/>
  <c r="K41" i="19"/>
  <c r="AI21" i="19"/>
  <c r="W31" i="19"/>
  <c r="AD31" i="19"/>
  <c r="L21" i="19"/>
  <c r="R51" i="19"/>
  <c r="L51" i="19"/>
  <c r="L41" i="19"/>
  <c r="R41" i="19"/>
  <c r="AD11" i="19"/>
  <c r="R21" i="19"/>
  <c r="L11" i="19"/>
  <c r="X31" i="19"/>
  <c r="AJ51" i="19"/>
  <c r="R11" i="19"/>
  <c r="AJ31" i="19"/>
  <c r="L31" i="19"/>
  <c r="AD21" i="19"/>
  <c r="AD41" i="19"/>
  <c r="X51" i="19"/>
  <c r="X11" i="19"/>
  <c r="AJ21" i="19"/>
  <c r="AJ11" i="19"/>
  <c r="X21" i="19"/>
  <c r="X41" i="19"/>
  <c r="AJ41" i="19"/>
  <c r="R31" i="19"/>
  <c r="AD51" i="19"/>
  <c r="AD29" i="19"/>
  <c r="L49" i="19"/>
  <c r="L39" i="19"/>
  <c r="L29" i="19"/>
  <c r="AD49" i="19"/>
  <c r="AD19" i="19"/>
  <c r="X19" i="19"/>
  <c r="R19" i="19"/>
  <c r="R49" i="19"/>
  <c r="AJ39" i="19"/>
  <c r="R39" i="19"/>
  <c r="X29" i="19"/>
  <c r="X9" i="19"/>
  <c r="R9" i="19"/>
  <c r="X39" i="19"/>
  <c r="AJ29" i="19"/>
  <c r="AJ19" i="19"/>
  <c r="AD9" i="19"/>
  <c r="X49" i="19"/>
  <c r="L9" i="19"/>
  <c r="AJ9" i="19"/>
  <c r="AD39" i="19"/>
  <c r="AJ49" i="19"/>
  <c r="R29" i="19"/>
  <c r="L19" i="19"/>
  <c r="Q49" i="19"/>
  <c r="K9" i="19"/>
  <c r="K49" i="19"/>
  <c r="W9" i="19"/>
  <c r="W49" i="19"/>
  <c r="W19" i="19"/>
  <c r="Q19" i="19"/>
  <c r="K39" i="19"/>
  <c r="AC9" i="19"/>
  <c r="AI39" i="19"/>
  <c r="Q9" i="19"/>
  <c r="AC29" i="19"/>
  <c r="AC39" i="19"/>
  <c r="AI9" i="19"/>
  <c r="K29" i="19"/>
  <c r="AI29" i="19"/>
  <c r="AI19" i="19"/>
  <c r="W29" i="19"/>
  <c r="Q29" i="19"/>
  <c r="AC49" i="19"/>
  <c r="W39" i="19"/>
  <c r="AI49" i="19"/>
  <c r="AC19" i="19"/>
  <c r="K19" i="19"/>
  <c r="Q39"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<sst xmlns="http://schemas.openxmlformats.org/spreadsheetml/2006/main" count="507" uniqueCount="288">
  <si>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</si>
  <si>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</si>
  <si>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</si>
  <si>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</si>
  <si>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</si>
  <si>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</si>
  <si>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</si>
  <si>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</si>
  <si>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</si>
  <si>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</si>
  <si>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</si>
  <si>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</si>
  <si>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</si>
  <si>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</si>
  <si>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</si>
  <si>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</si>
  <si>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</si>
  <si>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</si>
  <si>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</si>
  <si>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</si>
  <si>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</si>
  <si>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</si>
  <si>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</si>
  <si>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</si>
  <si>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</si>
  <si>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</si>
  <si>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</si>
  <si>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</si>
  <si>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</si>
  <si>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</si>
  <si>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</si>
  <si>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</si>
  <si>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</si>
  <si>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</si>
  <si>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</si>
  <si>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</si>
  <si>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</si>
  <si>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</si>
  <si>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</si>
  <si>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</si>
  <si>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</si>
  <si>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</si>
  <si>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</si>
  <si>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</si>
  <si>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</si>
  <si>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</si>
  <si>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</si>
  <si>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</si>
  <si>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</si>
  <si>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</si>
  <si>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</si>
  <si>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</si>
  <si>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</si>
  <si>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</si>
  <si>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</si>
  <si>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</si>
  <si>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</si>
  <si>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</si>
  <si>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</si>
  <si>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</si>
  <si>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</si>
  <si>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</si>
  <si>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</si>
  <si>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</si>
  <si>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</si>
  <si>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</si>
  <si>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</si>
  <si>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</si>
  <si>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</si>
  <si>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</si>
  <si>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</si>
  <si>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</si>
  <si>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</si>
  <si>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</si>
  <si>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</si>
  <si>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</si>
  <si>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</si>
  <si>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</si>
  <si>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</si>
  <si>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</si>
  <si>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</si>
  <si>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</si>
  <si>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</si>
  <si>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</si>
  <si>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</si>
  <si>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</si>
  <si>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</si>
  <si>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</si>
  <si>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</si>
  <si>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</si>
  <si>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</si>
  <si>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</si>
  <si>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</si>
  <si>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</si>
  <si>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</si>
  <si>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</si>
  <si>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</si>
  <si>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</si>
  <si>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</si>
  <si>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</si>
  <si>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</si>
  <si>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</si>
  <si>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</si>
  <si>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</si>
  <si>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</si>
  <si>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</si>
  <si>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</si>
  <si>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</si>
  <si>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</si>
  <si>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</si>
  <si>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</si>
  <si>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</si>
  <si>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</si>
  <si>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</si>
  <si>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</si>
  <si>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</si>
  <si>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</si>
  <si>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</si>
  <si>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</si>
  <si>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</si>
  <si>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</si>
  <si>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</si>
  <si>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</si>
  <si>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</si>
  <si>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</si>
  <si>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</si>
  <si>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</si>
  <si>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</si>
  <si>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</si>
  <si>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</si>
  <si>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</si>
  <si>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</si>
  <si>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</si>
  <si>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</si>
  <si>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</si>
  <si>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</si>
  <si>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</si>
  <si>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</si>
  <si>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</si>
  <si>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</si>
  <si>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</si>
  <si>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</si>
  <si>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</si>
  <si>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</si>
  <si>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</si>
  <si>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</si>
  <si>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</si>
  <si>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</si>
  <si>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</si>
  <si>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</si>
  <si>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</si>
  <si>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</si>
  <si>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</si>
  <si>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</si>
  <si>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</si>
  <si>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</si>
  <si>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</si>
  <si>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</si>
  <si>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</si>
  <si>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</si>
  <si>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</si>
  <si>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</si>
  <si>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</si>
  <si>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</si>
  <si>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</si>
  <si>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</si>
  <si>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</si>
  <si>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</si>
  <si>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</si>
  <si>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</si>
  <si>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</si>
  <si>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</si>
  <si>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</si>
  <si>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</si>
  <si>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</si>
  <si>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</si>
  <si>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</si>
  <si>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</si>
  <si>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</si>
  <si>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</si>
  <si>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</si>
  <si>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</si>
  <si>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</si>
  <si>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</si>
  <si>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</si>
  <si>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</si>
  <si>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</si>
  <si>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</si>
  <si>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</si>
  <si>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</si>
  <si>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</si>
  <si>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</si>
  <si>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</si>
  <si>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</si>
  <si>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</si>
  <si>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</si>
  <si>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</si>
  <si>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</si>
  <si>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</si>
  <si>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</si>
  <si>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</si>
  <si>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</si>
  <si>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</si>
  <si>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</si>
  <si>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</si>
  <si>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</si>
  <si>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</si>
  <si>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</si>
  <si>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</si>
  <si>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</si>
  <si>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</si>
  <si>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 CC</t>
  </si>
  <si>
    <t>SEGUIMIENTO</t>
  </si>
  <si>
    <t>Permanente</t>
  </si>
  <si>
    <t xml:space="preserve">GESTIÓN ADMISNITRATIVA Y FINANCIERA </t>
  </si>
  <si>
    <t>SUBDIRECCIÓN ADMINISTRATIVA Y FINANCIERA</t>
  </si>
  <si>
    <t>SUBDIRECCIÓN ADMINISTRATIVA Y FINANCIERA - PRESUPUESTO</t>
  </si>
  <si>
    <t>Insolvencia para pago de obligaciones</t>
  </si>
  <si>
    <t>SUBDIRECCIÓN ADMINISTRATIVA Y FINANCIERA - TESORERIA</t>
  </si>
  <si>
    <t>Ineficiencia Administrativa</t>
  </si>
  <si>
    <t>Elaboración, ejecución del Plan anual de Caja- PAC</t>
  </si>
  <si>
    <t xml:space="preserve">REALIZAR ACTAS DE CONCILIACIÓN MENSUAL </t>
  </si>
  <si>
    <t>SUBDIRECCIÓN ADMINISTRATIVA Y FINANCIERA - CONTABILIDAD</t>
  </si>
  <si>
    <t>SUBDIRECCIÓN ADMINISTRATIVA Y FINANCIERA - ALMACEN</t>
  </si>
  <si>
    <t>Cambios normativos que afectan los ingresos por transferencias.</t>
  </si>
  <si>
    <t>Confirmación del banco de las transacciones al correo institucional del Subdirector y del Tesorero y en la pltaforma BPM.</t>
  </si>
  <si>
    <t xml:space="preserve">  Plan anual de Caja- PAC</t>
  </si>
  <si>
    <t xml:space="preserve">
31/07/2023</t>
  </si>
  <si>
    <t>Realizacion de la consolidacion del PAC mensualmente.</t>
  </si>
  <si>
    <t>Falta de gestion para la consecucion de los recursos .</t>
  </si>
  <si>
    <t>Registro extemporaneo o inadecuado de las areas que intervienen en la generacion de la informacion contable y financiera de la Entidad.</t>
  </si>
  <si>
    <t>Revisión  de inventarios de consumo y aplicación de formatos de calidad.</t>
  </si>
  <si>
    <t>Falta de esquematizacion para poder implementar un seguimiento con respecto a los procesos que se llevan a cabo, referente a los bienes de consumo.</t>
  </si>
  <si>
    <t>Falta de control en la solicitud de Certificado de Disponibilidad Presupuestal por cada oficina gestora.</t>
  </si>
  <si>
    <t>Procesos y procedimientos sistematizados en la plataforma de gestión de procesos bpm.gov y la de presupuesto GD.</t>
  </si>
  <si>
    <t>SUBDIRECCIÓN ADMINISTRATIVA Y FINANCIERA - PRESUPUESTO- ASESOR CORPORATIVO Y OFICINAS GESTORAS.</t>
  </si>
  <si>
    <t>Envio de circular a cada uno de las oficinas gestoras y supervisores de contratos, solicitando la constitucion de la reserva presupuestal de conformidad al procedimiendo establecido por calidad.</t>
  </si>
  <si>
    <t>31/08/2023 
31/12/2023</t>
  </si>
  <si>
    <t>No se lleva a cabo un control de que procesos presupuestales requieren actualizacion de acuerdo a la normatividad vigente.</t>
  </si>
  <si>
    <t>No se ejerce un control adecuado a la programación y ejecucion del presupuesto de inversion.</t>
  </si>
  <si>
    <t>Procesos de solicitud de reservas no actualizados.</t>
  </si>
  <si>
    <t>Insolvencia para pago de obligaciones.</t>
  </si>
  <si>
    <t>Falta de gestion para la consecucion de los recursos.</t>
  </si>
  <si>
    <t xml:space="preserve">  Plan anual de Caja- PAC.</t>
  </si>
  <si>
    <t>Elaboración, ejecución del Plan anual de Caja- PAC.</t>
  </si>
  <si>
    <t>Icumplimiento de los procedimientos ya establecidos para el reporte de los ingresos del recaudo.</t>
  </si>
  <si>
    <t>Actas de cruces de informacion de  ingresos y gastos mensuales de presupuesto, contabilidad y tesorería.</t>
  </si>
  <si>
    <t>Revisión y actualización de los inventarios para detectar faltantes y deterioros de cada uno de los insumos que posee la entidad.</t>
  </si>
  <si>
    <t xml:space="preserve">No cancelación de  pasivos exigibles- vigencias expiradas  que fueron incorporadas en el presupuesto de la  vigencia actual .
</t>
  </si>
  <si>
    <t>Por parte de las oficinas gestoras, no se realizan los tramites respectivos para liquidar los procesos contractuales, que conllevan a contituir la vigencia expirada.</t>
  </si>
  <si>
    <t>Resolución de incorporacion de  pasivos exigibles al presupuesto de la vigencia.</t>
  </si>
  <si>
    <t>Actualizacion y Socializacion del procedimiento para la costitucion de reserva - Realizacion de una circular solicitando a las oficinas gestoras la constitucion de reservas de conformidad a lo estipulado por la ley.</t>
  </si>
  <si>
    <t>Elaboracion de una circular a las oficinas gestoras sobre  la constitución de  pasivo exigible-vigencia expirada, con los soportes respectivos de conformidad  a lo estipulado por la ley.</t>
  </si>
  <si>
    <t>Circular recordando a las oficinas gestoras realizar el tramite respectivo para el pago de las vigencias expiradas dentro de la vigencia fiscal.</t>
  </si>
  <si>
    <t>SUBDIRECCIÓN ADMINISTRATIVA Y FINANCIERA - TESORERIA- PRESUPUESTO - CONTABILIDAD</t>
  </si>
  <si>
    <t>Daño o detrimiento patrimonial por inadecuado manejo de recursos y bienes publicos en la Entidad.</t>
  </si>
  <si>
    <t xml:space="preserve"> Posibilidad de daño economico y reputacional en la asignación diferente de recursos de inversión y/o destinación especifica.</t>
  </si>
  <si>
    <t>Posibilidad de un daño economico y fiscal en el modulo de transferencias bancarias. - El no pago oportuno de obligaciones que generen intereses de mora.</t>
  </si>
  <si>
    <t>Falta de seguridad informatica dentro de la banca financiera. - Demora por parte de las oficinas gestoras en el cumplimiento de pagos de obligaciones en los plazos estipulados.</t>
  </si>
  <si>
    <t xml:space="preserve">  Realizacion de un calendario de fechas de vencimientos de servicios publicos, la implementacion  y realizacion de capacitaciones de seguridad digital.</t>
  </si>
  <si>
    <t xml:space="preserve">
31/12/2023</t>
  </si>
  <si>
    <t xml:space="preserve"> Posibilidad de un daño economico y reputacional frente al no reporte de los ingresos recaudados por las diferentes subdireciones a la subdireciion administrativa y financiera para el respectivo registro contable y presupuestal.</t>
  </si>
  <si>
    <t>Posibilidad de un daño economico y reputacional referente a la ineficiencia Administrativa en la gestion para la consecucion de los recursos.</t>
  </si>
  <si>
    <t>Posibilidad de un daño economico y reputacional en las transferencias Indebidas o erróneas.</t>
  </si>
  <si>
    <t>Posibilidad de un daño economico y reputacional en el pago de pasivos exigibles-vigencias expiradas.</t>
  </si>
  <si>
    <t>Posibilidad de un daño economico y reputacional en la no costitucion de la reserva presupuestal.</t>
  </si>
  <si>
    <t>Selección de cuenta o destinatario incorrecto mediante error humano.</t>
  </si>
  <si>
    <t>Verificación de las transacciones realizadas, comprobantes de egresos Vs. Comprobantes de pago emitidos, por el portal transaccional bancario.</t>
  </si>
  <si>
    <t>Trasabilidad  de los comprobantes de egreso, los cuales deben ser de forma consecutiva y que coincidan con sus respectivos soporte de pago.</t>
  </si>
  <si>
    <t>Definir los lineamientos que se deben seguir para la programación, elaboración, aprobación, ejecución, seguimiento y control del presupuesto anual de rentas y gastos del Área Metropolitana de Bucaramanga de manera clara y oportuna; para que la información presupuestal obtenida permita la correcta toma de decisiones.</t>
  </si>
  <si>
    <t>Aplica para todas las dependencias de la entidad; inicia con la elaboración del proyecto de presupuesto e involucra las actividades correspondientes a seguir para la programación, elaboración, aprobación, ejecución, seguimiento y control del presupuesto, análisis financiero, presentación de informes de ejecución de presupuesto hasta la generación de informes del cierre de la vigencia fiscal y su archivo.</t>
  </si>
  <si>
    <t xml:space="preserve">Acta de cierre financiero, por medio de un cruce de informacion  entre contabilidad y precupuesto a 31 de diciembre, para verificar la informacion solicitada por las oficinas gestoras. </t>
  </si>
  <si>
    <t>Posibilidad de un daño economico y reputacional respecto a la perdida y deterioro de bienes de consumo de la entidad.</t>
  </si>
  <si>
    <t>No se tiene un proceso establecido estándar para salvaguardia y seguridad de los bienes de consumo de la entidad.</t>
  </si>
  <si>
    <t>Solicitar capacitacion en seguridad digital con los funcionarios de la Entidad y realizar los pagos de los compromisos generados en las fechas estipuladas para tal fin.</t>
  </si>
  <si>
    <t>Programar capacitaciones de seguridad digital, contar con un equipo exclusivo para realizacion de transferencias bancarias y  demostrar los soportes de pago oportunos de los servicios públicos.</t>
  </si>
  <si>
    <t>Verificacion de envio de los  formatos de solicitud de elementos de consumo y   notas de ingreso en el sistema de inventarios, por cada una de las oficinas gestoras al encargado de almacen.</t>
  </si>
  <si>
    <t>Plan de Acción+AE7</t>
  </si>
  <si>
    <t xml:space="preserve">Crear un formato de control para la verificación de la asignación de los recursos de inversión por parte de los reponsables del proceso.
</t>
  </si>
  <si>
    <t xml:space="preserve">31/08/2023
</t>
  </si>
  <si>
    <t xml:space="preserve">1/01/2023
</t>
  </si>
  <si>
    <t xml:space="preserve">Muestra del diligenciamiento del formato de control de verificacion a proyectos de inversion, aprobados por calidad con la informacion presupuestal verificadas por cada oficina gestora y debidamente firmado/ soporte de envio por correo electronico
</t>
  </si>
  <si>
    <t xml:space="preserve">Muestra de Elaboracion de conciliaciones bancarias mensuales. </t>
  </si>
  <si>
    <t>PROCESO DIRECCIONAMIENTO ESTRATÉGICO</t>
  </si>
  <si>
    <r>
      <t xml:space="preserve">CÓDIGO: </t>
    </r>
    <r>
      <rPr>
        <sz val="10"/>
        <rFont val="Arial"/>
        <family val="2"/>
      </rPr>
      <t>DIE-FO-022</t>
    </r>
  </si>
  <si>
    <t>MATRIZ DE RIESGOS DE PROCESO</t>
  </si>
  <si>
    <r>
      <t xml:space="preserve">VERSIÓN: </t>
    </r>
    <r>
      <rPr>
        <sz val="10"/>
        <rFont val="Arial"/>
        <family val="2"/>
      </rPr>
      <t>01</t>
    </r>
  </si>
  <si>
    <t>Avance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</si>
</sst>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20"/>
      <color theme="1"/>
      <name val="Arial Narrow"/>
      <family val="2"/>
    </font>
    <font>
      <sz val="11"/>
      <color theme="0"/>
      <name val="Arial Narrow"/>
      <family val="2"/>
    </font>
    <font>
      <b/>
      <sz val="10"/>
      <name val="Arial"/>
      <family val="2"/>
    </font>
    <font>
      <b/>
      <sz val="12"/>
      <name val="Arial"/>
      <family val="2"/>
    </font>
    <font>
      <sz val="11"/>
      <name val="Arial"/>
      <family val="2"/>
    </font>
    <font>
      <b/>
      <sz val="14"/>
      <color theme="1"/>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9">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dashed">
        <color theme="9" tint="-0.24994659260841701"/>
      </right>
      <top/>
      <bottom/>
      <diagonal/>
    </border>
    <border>
      <left style="thin">
        <color indexed="64"/>
      </left>
      <right style="thin">
        <color indexed="64"/>
      </right>
      <top style="thin">
        <color indexed="64"/>
      </top>
      <bottom/>
      <diagonal/>
    </border>
    <border>
      <left style="thin">
        <color indexed="64"/>
      </left>
      <right style="dashed">
        <color theme="9" tint="-0.24994659260841701"/>
      </right>
      <top style="dashed">
        <color theme="9"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5" fillId="0" borderId="0" applyFont="0" applyFill="0" applyBorder="0" applyAlignment="0" applyProtection="0"/>
    <xf numFmtId="0" fontId="47" fillId="0" borderId="0"/>
    <xf numFmtId="0" fontId="48" fillId="0" borderId="0"/>
    <xf numFmtId="0" fontId="5" fillId="0" borderId="0"/>
  </cellStyleXfs>
  <cellXfs count="45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3"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49" fillId="3" borderId="49" xfId="2" applyFont="1" applyFill="1" applyBorder="1"/>
    <xf numFmtId="0" fontId="49" fillId="3" borderId="50" xfId="2" applyFont="1" applyFill="1" applyBorder="1"/>
    <xf numFmtId="0" fontId="49" fillId="3" borderId="51" xfId="2" applyFont="1" applyFill="1" applyBorder="1"/>
    <xf numFmtId="0" fontId="17" fillId="3" borderId="0" xfId="0" applyFont="1" applyFill="1" applyAlignment="1">
      <alignment vertical="center"/>
    </xf>
    <xf numFmtId="0" fontId="5" fillId="3" borderId="0" xfId="0" applyFont="1" applyFill="1"/>
    <xf numFmtId="0" fontId="36" fillId="3" borderId="0" xfId="0" applyFont="1" applyFill="1"/>
    <xf numFmtId="0" fontId="37" fillId="3" borderId="32" xfId="0" applyFont="1" applyFill="1" applyBorder="1" applyAlignment="1">
      <alignment horizontal="center" vertical="center" wrapText="1" readingOrder="1"/>
    </xf>
    <xf numFmtId="0" fontId="38" fillId="3" borderId="32" xfId="0" applyFont="1" applyFill="1" applyBorder="1" applyAlignment="1">
      <alignment horizontal="justify" vertical="center" wrapText="1" readingOrder="1"/>
    </xf>
    <xf numFmtId="9" fontId="37" fillId="3" borderId="41" xfId="0" applyNumberFormat="1"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8" fillId="3" borderId="31" xfId="0" applyFont="1" applyFill="1" applyBorder="1" applyAlignment="1">
      <alignment horizontal="justify" vertical="center" wrapText="1" readingOrder="1"/>
    </xf>
    <xf numFmtId="9" fontId="37" fillId="3" borderId="36" xfId="0" applyNumberFormat="1"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8" fillId="3" borderId="38" xfId="0" applyFont="1" applyFill="1" applyBorder="1" applyAlignment="1">
      <alignment horizontal="justify" vertical="center" wrapText="1" readingOrder="1"/>
    </xf>
    <xf numFmtId="0" fontId="38" fillId="3" borderId="39" xfId="0" applyFont="1" applyFill="1" applyBorder="1" applyAlignment="1">
      <alignment horizontal="center" vertical="center" wrapText="1" readingOrder="1"/>
    </xf>
    <xf numFmtId="0" fontId="46" fillId="3" borderId="0" xfId="0" applyFont="1" applyFill="1"/>
    <xf numFmtId="0" fontId="37" fillId="15" borderId="43" xfId="0" applyFont="1" applyFill="1" applyBorder="1" applyAlignment="1">
      <alignment horizontal="center" vertical="center" wrapText="1" readingOrder="1"/>
    </xf>
    <xf numFmtId="0" fontId="37" fillId="15" borderId="44" xfId="0" applyFont="1" applyFill="1" applyBorder="1" applyAlignment="1">
      <alignment horizontal="center" vertical="center" wrapText="1" readingOrder="1"/>
    </xf>
    <xf numFmtId="0" fontId="14" fillId="3" borderId="0" xfId="0" applyFont="1" applyFill="1"/>
    <xf numFmtId="0" fontId="31"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xf numFmtId="0" fontId="49" fillId="3" borderId="15" xfId="2" applyFont="1" applyFill="1" applyBorder="1"/>
    <xf numFmtId="0" fontId="49" fillId="3" borderId="16" xfId="2" applyFont="1" applyFill="1" applyBorder="1"/>
    <xf numFmtId="0" fontId="49" fillId="3" borderId="18" xfId="2" applyFont="1" applyFill="1" applyBorder="1"/>
    <xf numFmtId="0" fontId="49" fillId="3" borderId="17" xfId="2" applyFont="1" applyFill="1" applyBorder="1"/>
    <xf numFmtId="0" fontId="53"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1" fillId="3" borderId="14" xfId="2" quotePrefix="1" applyFont="1" applyFill="1" applyBorder="1" applyAlignment="1">
      <alignment horizontal="left" vertical="top" wrapText="1"/>
    </xf>
    <xf numFmtId="0" fontId="52" fillId="3" borderId="0" xfId="2" quotePrefix="1" applyFont="1" applyFill="1" applyAlignment="1">
      <alignment horizontal="left" vertical="top" wrapText="1"/>
    </xf>
    <xf numFmtId="0" fontId="52"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pplyProtection="1">
      <alignment horizontal="justify" vertical="center"/>
      <protection locked="0"/>
    </xf>
    <xf numFmtId="164" fontId="1" fillId="0" borderId="2" xfId="1" applyNumberFormat="1" applyFont="1" applyFill="1" applyBorder="1" applyAlignment="1">
      <alignment horizontal="center" vertical="center"/>
    </xf>
    <xf numFmtId="14" fontId="1" fillId="0" borderId="2"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6" fillId="0" borderId="4" xfId="0" applyFont="1" applyBorder="1" applyAlignment="1" applyProtection="1">
      <alignment vertical="center" wrapText="1"/>
      <protection locked="0"/>
    </xf>
    <xf numFmtId="0" fontId="6" fillId="0" borderId="5" xfId="0" applyFont="1" applyBorder="1" applyAlignment="1" applyProtection="1">
      <alignment vertical="center" wrapText="1"/>
      <protection locked="0"/>
    </xf>
    <xf numFmtId="9" fontId="1" fillId="0" borderId="4" xfId="0" applyNumberFormat="1" applyFont="1" applyBorder="1" applyAlignment="1" applyProtection="1">
      <alignment vertical="center" wrapText="1"/>
      <protection locked="0"/>
    </xf>
    <xf numFmtId="9" fontId="1" fillId="0" borderId="8" xfId="0" applyNumberFormat="1" applyFont="1" applyBorder="1" applyAlignment="1" applyProtection="1">
      <alignment vertical="center" wrapText="1"/>
      <protection locked="0"/>
    </xf>
    <xf numFmtId="9" fontId="1" fillId="0" borderId="5" xfId="0" applyNumberFormat="1" applyFont="1" applyBorder="1" applyAlignment="1" applyProtection="1">
      <alignment vertical="center" wrapText="1"/>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1" fillId="0" borderId="5"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top" wrapText="1"/>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9" xfId="0" applyNumberFormat="1" applyFont="1" applyBorder="1" applyAlignment="1" applyProtection="1">
      <alignment horizontal="center" vertical="top" wrapText="1"/>
      <protection hidden="1"/>
    </xf>
    <xf numFmtId="9" fontId="1" fillId="0" borderId="3" xfId="0" applyNumberFormat="1" applyFont="1" applyBorder="1" applyAlignment="1" applyProtection="1">
      <alignment horizontal="center" vertical="top" wrapText="1"/>
      <protection hidden="1"/>
    </xf>
    <xf numFmtId="9" fontId="1" fillId="0" borderId="73" xfId="0" applyNumberFormat="1" applyFont="1" applyBorder="1" applyAlignment="1" applyProtection="1">
      <alignment horizontal="center" vertical="top" wrapText="1"/>
      <protection hidden="1"/>
    </xf>
    <xf numFmtId="9" fontId="1" fillId="0" borderId="30" xfId="0" applyNumberFormat="1" applyFont="1" applyBorder="1" applyAlignment="1" applyProtection="1">
      <alignment horizontal="center" vertical="top" wrapText="1"/>
      <protection hidden="1"/>
    </xf>
    <xf numFmtId="0" fontId="4" fillId="0" borderId="31" xfId="0" applyFont="1" applyBorder="1" applyAlignment="1" applyProtection="1">
      <alignment horizontal="center" vertical="top"/>
      <protection hidden="1"/>
    </xf>
    <xf numFmtId="9" fontId="1" fillId="0" borderId="28" xfId="0" applyNumberFormat="1" applyFont="1" applyBorder="1" applyAlignment="1" applyProtection="1">
      <alignment horizontal="center" vertical="top" wrapText="1"/>
      <protection hidden="1"/>
    </xf>
    <xf numFmtId="0" fontId="1" fillId="0" borderId="2" xfId="0" applyFont="1" applyBorder="1" applyAlignment="1" applyProtection="1">
      <alignment horizontal="left" vertical="top" wrapText="1"/>
      <protection locked="0"/>
    </xf>
    <xf numFmtId="14" fontId="1" fillId="0" borderId="2" xfId="0" applyNumberFormat="1" applyFont="1" applyBorder="1" applyAlignment="1" applyProtection="1">
      <alignment horizontal="center" vertical="top" wrapText="1"/>
      <protection locked="0"/>
    </xf>
    <xf numFmtId="0" fontId="1" fillId="0" borderId="2" xfId="0" applyFont="1" applyBorder="1" applyAlignment="1" applyProtection="1">
      <alignment horizontal="left" vertical="top"/>
      <protection locked="0"/>
    </xf>
    <xf numFmtId="0" fontId="6" fillId="0" borderId="2" xfId="0" applyFont="1" applyBorder="1" applyAlignment="1" applyProtection="1">
      <alignment horizontal="left" vertical="top" wrapText="1"/>
      <protection locked="0"/>
    </xf>
    <xf numFmtId="0" fontId="4" fillId="2" borderId="2" xfId="0" applyFont="1" applyFill="1" applyBorder="1" applyAlignment="1">
      <alignment horizontal="center" vertical="center" textRotation="90"/>
    </xf>
    <xf numFmtId="0" fontId="50" fillId="14" borderId="46" xfId="2" applyFont="1" applyFill="1" applyBorder="1" applyAlignment="1">
      <alignment horizontal="center" vertical="center" wrapText="1"/>
    </xf>
    <xf numFmtId="0" fontId="50" fillId="14" borderId="47" xfId="2" applyFont="1" applyFill="1" applyBorder="1" applyAlignment="1">
      <alignment horizontal="center" vertical="center" wrapText="1"/>
    </xf>
    <xf numFmtId="0" fontId="50" fillId="14" borderId="48"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6" xfId="2" quotePrefix="1" applyFont="1" applyBorder="1" applyAlignment="1">
      <alignment horizontal="left" vertical="center" wrapText="1"/>
    </xf>
    <xf numFmtId="0" fontId="49" fillId="0" borderId="67" xfId="2" quotePrefix="1" applyFont="1" applyBorder="1" applyAlignment="1">
      <alignment horizontal="left" vertical="center" wrapText="1"/>
    </xf>
    <xf numFmtId="0" fontId="49" fillId="0" borderId="68" xfId="2" quotePrefix="1" applyFont="1" applyBorder="1" applyAlignment="1">
      <alignment horizontal="left" vertical="center" wrapText="1"/>
    </xf>
    <xf numFmtId="0" fontId="51" fillId="3" borderId="49" xfId="2" quotePrefix="1" applyFont="1" applyFill="1" applyBorder="1" applyAlignment="1">
      <alignment horizontal="left" vertical="top" wrapText="1"/>
    </xf>
    <xf numFmtId="0" fontId="52" fillId="3" borderId="50" xfId="2" quotePrefix="1" applyFont="1" applyFill="1" applyBorder="1" applyAlignment="1">
      <alignment horizontal="left" vertical="top" wrapText="1"/>
    </xf>
    <xf numFmtId="0" fontId="52" fillId="3" borderId="51" xfId="2" quotePrefix="1" applyFont="1" applyFill="1" applyBorder="1" applyAlignment="1">
      <alignment horizontal="left" vertical="top" wrapText="1"/>
    </xf>
    <xf numFmtId="0" fontId="49" fillId="0" borderId="14"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5" xfId="2" quotePrefix="1" applyFont="1" applyBorder="1" applyAlignment="1">
      <alignment horizontal="left" vertical="top" wrapText="1"/>
    </xf>
    <xf numFmtId="0" fontId="54" fillId="14" borderId="52" xfId="3" applyFont="1" applyFill="1" applyBorder="1" applyAlignment="1">
      <alignment horizontal="center" vertical="center" wrapText="1"/>
    </xf>
    <xf numFmtId="0" fontId="54" fillId="14" borderId="53" xfId="3" applyFont="1" applyFill="1" applyBorder="1" applyAlignment="1">
      <alignment horizontal="center" vertical="center" wrapText="1"/>
    </xf>
    <xf numFmtId="0" fontId="54" fillId="14" borderId="54" xfId="2" applyFont="1" applyFill="1" applyBorder="1" applyAlignment="1">
      <alignment horizontal="center" vertical="center"/>
    </xf>
    <xf numFmtId="0" fontId="54" fillId="14" borderId="55" xfId="2" applyFont="1" applyFill="1" applyBorder="1" applyAlignment="1">
      <alignment horizontal="center" vertical="center"/>
    </xf>
    <xf numFmtId="0" fontId="2" fillId="3" borderId="66" xfId="2" quotePrefix="1" applyFont="1" applyFill="1" applyBorder="1" applyAlignment="1">
      <alignment horizontal="justify" vertical="center" wrapText="1"/>
    </xf>
    <xf numFmtId="0" fontId="2" fillId="3" borderId="67" xfId="2" quotePrefix="1" applyFont="1" applyFill="1" applyBorder="1" applyAlignment="1">
      <alignment horizontal="justify" vertical="center" wrapText="1"/>
    </xf>
    <xf numFmtId="0" fontId="2" fillId="3" borderId="68" xfId="2" quotePrefix="1" applyFont="1" applyFill="1" applyBorder="1" applyAlignment="1">
      <alignment horizontal="justify" vertical="center" wrapText="1"/>
    </xf>
    <xf numFmtId="0" fontId="54" fillId="3" borderId="56" xfId="3" applyFont="1" applyFill="1" applyBorder="1" applyAlignment="1">
      <alignment horizontal="left" vertical="top" wrapText="1" readingOrder="1"/>
    </xf>
    <xf numFmtId="0" fontId="54" fillId="3" borderId="57" xfId="3" applyFont="1" applyFill="1" applyBorder="1" applyAlignment="1">
      <alignment horizontal="left" vertical="top" wrapText="1" readingOrder="1"/>
    </xf>
    <xf numFmtId="0" fontId="55" fillId="3" borderId="58" xfId="2" applyFont="1" applyFill="1" applyBorder="1" applyAlignment="1">
      <alignment horizontal="justify" vertical="center" wrapText="1"/>
    </xf>
    <xf numFmtId="0" fontId="55" fillId="3" borderId="59" xfId="2" applyFont="1" applyFill="1" applyBorder="1" applyAlignment="1">
      <alignment horizontal="justify" vertical="center" wrapText="1"/>
    </xf>
    <xf numFmtId="0" fontId="54" fillId="3" borderId="60" xfId="0" applyFont="1" applyFill="1" applyBorder="1" applyAlignment="1">
      <alignment horizontal="left" vertical="center" wrapText="1"/>
    </xf>
    <xf numFmtId="0" fontId="54" fillId="3" borderId="61" xfId="0" applyFont="1" applyFill="1" applyBorder="1" applyAlignment="1">
      <alignment horizontal="left" vertical="center" wrapText="1"/>
    </xf>
    <xf numFmtId="0" fontId="55" fillId="3" borderId="62" xfId="2" applyFont="1" applyFill="1" applyBorder="1" applyAlignment="1">
      <alignment horizontal="justify" vertical="center" wrapText="1"/>
    </xf>
    <xf numFmtId="0" fontId="55" fillId="3" borderId="63" xfId="2" applyFont="1" applyFill="1" applyBorder="1" applyAlignment="1">
      <alignment horizontal="justify" vertical="center" wrapText="1"/>
    </xf>
    <xf numFmtId="0" fontId="49" fillId="3" borderId="14"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5" xfId="2" applyFont="1" applyFill="1" applyBorder="1" applyAlignment="1">
      <alignment horizontal="left" vertical="top" wrapText="1"/>
    </xf>
    <xf numFmtId="0" fontId="54" fillId="3" borderId="69" xfId="0" applyFont="1" applyFill="1" applyBorder="1" applyAlignment="1">
      <alignment horizontal="left" vertical="center" wrapText="1"/>
    </xf>
    <xf numFmtId="0" fontId="54" fillId="3" borderId="70" xfId="0" applyFont="1" applyFill="1" applyBorder="1" applyAlignment="1">
      <alignment horizontal="left" vertical="center" wrapText="1"/>
    </xf>
    <xf numFmtId="0" fontId="54" fillId="3" borderId="71" xfId="0" applyFont="1" applyFill="1" applyBorder="1" applyAlignment="1">
      <alignment horizontal="left" vertical="center" wrapText="1"/>
    </xf>
    <xf numFmtId="0" fontId="54" fillId="3" borderId="72" xfId="0" applyFont="1" applyFill="1" applyBorder="1" applyAlignment="1">
      <alignment horizontal="left" vertical="center" wrapText="1"/>
    </xf>
    <xf numFmtId="0" fontId="55" fillId="3" borderId="64" xfId="0" applyFont="1" applyFill="1" applyBorder="1" applyAlignment="1">
      <alignment horizontal="justify" vertical="center" wrapText="1"/>
    </xf>
    <xf numFmtId="0" fontId="55" fillId="3" borderId="65" xfId="0" applyFont="1" applyFill="1" applyBorder="1" applyAlignment="1">
      <alignment horizontal="justify" vertical="center" wrapText="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2" borderId="9" xfId="0" applyFont="1" applyFill="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63" fillId="2" borderId="4" xfId="0" applyFont="1" applyFill="1" applyBorder="1" applyAlignment="1">
      <alignment horizontal="center" vertical="center" textRotation="90"/>
    </xf>
    <xf numFmtId="0" fontId="63"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59" fillId="0" borderId="8" xfId="0" applyFont="1" applyBorder="1" applyAlignment="1" applyProtection="1">
      <alignment horizontal="center" vertical="center" wrapText="1"/>
      <protection locked="0"/>
    </xf>
    <xf numFmtId="0" fontId="59"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7"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60" fillId="0" borderId="31" xfId="0" applyFont="1" applyBorder="1" applyAlignment="1">
      <alignment horizontal="center" vertical="center" wrapText="1"/>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61" fillId="3" borderId="76" xfId="0" applyFont="1" applyFill="1" applyBorder="1" applyAlignment="1">
      <alignment horizontal="center" vertical="center" wrapText="1"/>
    </xf>
    <xf numFmtId="0" fontId="61" fillId="3" borderId="77" xfId="0" applyFont="1" applyFill="1" applyBorder="1" applyAlignment="1">
      <alignment horizontal="center" vertical="center" wrapText="1"/>
    </xf>
    <xf numFmtId="0" fontId="61" fillId="3" borderId="78" xfId="0" applyFont="1" applyFill="1" applyBorder="1" applyAlignment="1">
      <alignment horizontal="center" vertical="center" wrapText="1"/>
    </xf>
    <xf numFmtId="0" fontId="60" fillId="3" borderId="76" xfId="0" applyFont="1" applyFill="1" applyBorder="1" applyAlignment="1">
      <alignment horizontal="left" vertical="center"/>
    </xf>
    <xf numFmtId="0" fontId="60" fillId="3" borderId="78" xfId="0" applyFont="1" applyFill="1" applyBorder="1" applyAlignment="1">
      <alignment horizontal="left" vertical="center"/>
    </xf>
    <xf numFmtId="0" fontId="62" fillId="3" borderId="76" xfId="0" applyFont="1" applyFill="1" applyBorder="1" applyAlignment="1">
      <alignment horizontal="center" vertical="center"/>
    </xf>
    <xf numFmtId="0" fontId="62" fillId="3" borderId="77" xfId="0" applyFont="1" applyFill="1" applyBorder="1" applyAlignment="1">
      <alignment horizontal="center" vertical="center"/>
    </xf>
    <xf numFmtId="0" fontId="62" fillId="3" borderId="78" xfId="0" applyFont="1" applyFill="1" applyBorder="1" applyAlignment="1">
      <alignment horizontal="center" vertical="center"/>
    </xf>
    <xf numFmtId="0" fontId="58" fillId="3" borderId="31" xfId="0" applyFont="1" applyFill="1" applyBorder="1" applyAlignment="1" applyProtection="1">
      <alignment horizontal="left" vertical="center"/>
      <protection locked="0"/>
    </xf>
    <xf numFmtId="0" fontId="8" fillId="3" borderId="31" xfId="0" applyFont="1" applyFill="1" applyBorder="1" applyAlignment="1" applyProtection="1">
      <alignment horizontal="left" vertical="center" wrapText="1"/>
      <protection locked="0"/>
    </xf>
    <xf numFmtId="0" fontId="4" fillId="0" borderId="74" xfId="0" applyFont="1" applyBorder="1" applyAlignment="1" applyProtection="1">
      <alignment horizontal="center" vertical="top"/>
      <protection hidden="1"/>
    </xf>
    <xf numFmtId="9" fontId="1" fillId="0" borderId="75" xfId="0" applyNumberFormat="1" applyFont="1" applyBorder="1" applyAlignment="1" applyProtection="1">
      <alignment horizontal="center" vertical="top" wrapText="1"/>
      <protection hidden="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0" xfId="0" applyFont="1" applyAlignment="1">
      <alignment horizontal="center" vertical="center"/>
    </xf>
    <xf numFmtId="0" fontId="43" fillId="0" borderId="15"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3" fillId="0" borderId="17" xfId="0" applyFont="1" applyBorder="1" applyAlignment="1">
      <alignment horizontal="center" vertical="center"/>
    </xf>
    <xf numFmtId="0" fontId="43" fillId="0" borderId="19" xfId="0" applyFont="1" applyBorder="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4" xfId="0" applyFont="1" applyBorder="1" applyAlignment="1">
      <alignment horizontal="center" vertical="center" wrapText="1"/>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3" fillId="0" borderId="0" xfId="0" applyFont="1" applyAlignment="1">
      <alignment horizontal="center" vertical="center" wrapText="1"/>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5" fillId="0" borderId="0" xfId="0" applyFont="1" applyAlignment="1">
      <alignment horizontal="center" vertical="center"/>
    </xf>
    <xf numFmtId="0" fontId="40" fillId="15" borderId="33" xfId="0" applyFont="1" applyFill="1" applyBorder="1" applyAlignment="1">
      <alignment horizontal="center" vertical="center" wrapText="1" readingOrder="1"/>
    </xf>
    <xf numFmtId="0" fontId="40" fillId="15" borderId="34" xfId="0" applyFont="1" applyFill="1" applyBorder="1" applyAlignment="1">
      <alignment horizontal="center" vertical="center" wrapText="1" readingOrder="1"/>
    </xf>
    <xf numFmtId="0" fontId="40" fillId="15" borderId="45"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5" borderId="42" xfId="0" applyFont="1" applyFill="1" applyBorder="1" applyAlignment="1">
      <alignment horizontal="center" vertical="center" wrapText="1" readingOrder="1"/>
    </xf>
    <xf numFmtId="0" fontId="37" fillId="15" borderId="43"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7" fillId="3" borderId="35" xfId="0" applyFont="1" applyFill="1" applyBorder="1" applyAlignment="1">
      <alignment horizontal="center" vertical="center" wrapText="1" readingOrder="1"/>
    </xf>
    <xf numFmtId="0" fontId="37" fillId="3" borderId="32" xfId="0"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25" fillId="2" borderId="6" xfId="0" applyFont="1" applyFill="1" applyBorder="1" applyAlignment="1">
      <alignment horizontal="left" vertical="center"/>
    </xf>
    <xf numFmtId="0" fontId="25" fillId="2" borderId="10" xfId="0" applyFont="1" applyFill="1" applyBorder="1" applyAlignment="1">
      <alignment horizontal="left"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95">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FFFF00"/>
        </patternFill>
      </fill>
    </dxf>
    <dxf>
      <fill>
        <patternFill>
          <bgColor rgb="FFC00000"/>
        </patternFill>
      </fill>
    </dxf>
    <dxf>
      <fill>
        <patternFill>
          <bgColor rgb="FF92D05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761999</xdr:colOff>
      <xdr:row>0</xdr:row>
      <xdr:rowOff>92365</xdr:rowOff>
    </xdr:from>
    <xdr:to>
      <xdr:col>3</xdr:col>
      <xdr:colOff>1079441</xdr:colOff>
      <xdr:row>1</xdr:row>
      <xdr:rowOff>1183641</xdr:rowOff>
    </xdr:to>
    <xdr:pic>
      <xdr:nvPicPr>
        <xdr:cNvPr id="3" name="Imagen 2" descr="LOGO NUEVO">
          <a:extLst>
            <a:ext uri="{FF2B5EF4-FFF2-40B4-BE49-F238E27FC236}">
              <a16:creationId xmlns:a16="http://schemas.microsoft.com/office/drawing/2014/main" id="{B5A96374-E659-41E2-AB80-A1C0329D47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499" y="96175"/>
          <a:ext cx="2999682" cy="1297016"/>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94" dataDxfId="93">
  <autoFilter ref="B209:C219" xr:uid="{00000000-0009-0000-0100-000001000000}"/>
  <tableColumns count="2">
    <tableColumn id="1" xr3:uid="{00000000-0010-0000-0000-000001000000}" name="Criterios" dataDxfId="92"/>
    <tableColumn id="2" xr3:uid="{00000000-0010-0000-0000-000002000000}" name="Subcriterios" dataDxfId="9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21" zoomScale="110" zoomScaleNormal="110" workbookViewId="0">
      <selection activeCell="E19" sqref="E19:F19"/>
    </sheetView>
  </sheetViews>
  <sheetFormatPr baseColWidth="10" defaultColWidth="11.44140625" defaultRowHeight="14.4" x14ac:dyDescent="0.3"/>
  <cols>
    <col min="1" max="1" width="2.88671875" style="82" customWidth="1"/>
    <col min="2" max="3" width="24.6640625" style="82" customWidth="1"/>
    <col min="4" max="4" width="16" style="82" customWidth="1"/>
    <col min="5" max="5" width="24.6640625" style="82" customWidth="1"/>
    <col min="6" max="6" width="27.6640625" style="82" customWidth="1"/>
    <col min="7" max="8" width="24.6640625" style="82" customWidth="1"/>
    <col min="9" max="16384" width="11.44140625" style="82"/>
  </cols>
  <sheetData>
    <row r="1" spans="2:8" ht="15" thickBot="1" x14ac:dyDescent="0.35"/>
    <row r="2" spans="2:8" ht="18" x14ac:dyDescent="0.3">
      <c r="B2" s="188" t="s">
        <v>163</v>
      </c>
      <c r="C2" s="189"/>
      <c r="D2" s="189"/>
      <c r="E2" s="189"/>
      <c r="F2" s="189"/>
      <c r="G2" s="189"/>
      <c r="H2" s="190"/>
    </row>
    <row r="3" spans="2:8" x14ac:dyDescent="0.3">
      <c r="B3" s="83"/>
      <c r="C3" s="84"/>
      <c r="D3" s="84"/>
      <c r="E3" s="84"/>
      <c r="F3" s="84"/>
      <c r="G3" s="84"/>
      <c r="H3" s="85"/>
    </row>
    <row r="4" spans="2:8" ht="63" customHeight="1" x14ac:dyDescent="0.3">
      <c r="B4" s="191" t="s">
        <v>206</v>
      </c>
      <c r="C4" s="192"/>
      <c r="D4" s="192"/>
      <c r="E4" s="192"/>
      <c r="F4" s="192"/>
      <c r="G4" s="192"/>
      <c r="H4" s="193"/>
    </row>
    <row r="5" spans="2:8" ht="63" customHeight="1" x14ac:dyDescent="0.3">
      <c r="B5" s="194"/>
      <c r="C5" s="195"/>
      <c r="D5" s="195"/>
      <c r="E5" s="195"/>
      <c r="F5" s="195"/>
      <c r="G5" s="195"/>
      <c r="H5" s="196"/>
    </row>
    <row r="6" spans="2:8" x14ac:dyDescent="0.3">
      <c r="B6" s="197" t="s">
        <v>161</v>
      </c>
      <c r="C6" s="198"/>
      <c r="D6" s="198"/>
      <c r="E6" s="198"/>
      <c r="F6" s="198"/>
      <c r="G6" s="198"/>
      <c r="H6" s="199"/>
    </row>
    <row r="7" spans="2:8" ht="95.25" customHeight="1" x14ac:dyDescent="0.3">
      <c r="B7" s="207" t="s">
        <v>166</v>
      </c>
      <c r="C7" s="208"/>
      <c r="D7" s="208"/>
      <c r="E7" s="208"/>
      <c r="F7" s="208"/>
      <c r="G7" s="208"/>
      <c r="H7" s="209"/>
    </row>
    <row r="8" spans="2:8" x14ac:dyDescent="0.3">
      <c r="B8" s="119"/>
      <c r="C8" s="120"/>
      <c r="D8" s="120"/>
      <c r="E8" s="120"/>
      <c r="F8" s="120"/>
      <c r="G8" s="120"/>
      <c r="H8" s="121"/>
    </row>
    <row r="9" spans="2:8" ht="16.5" customHeight="1" x14ac:dyDescent="0.3">
      <c r="B9" s="200" t="s">
        <v>199</v>
      </c>
      <c r="C9" s="201"/>
      <c r="D9" s="201"/>
      <c r="E9" s="201"/>
      <c r="F9" s="201"/>
      <c r="G9" s="201"/>
      <c r="H9" s="202"/>
    </row>
    <row r="10" spans="2:8" ht="44.25" customHeight="1" x14ac:dyDescent="0.3">
      <c r="B10" s="200"/>
      <c r="C10" s="201"/>
      <c r="D10" s="201"/>
      <c r="E10" s="201"/>
      <c r="F10" s="201"/>
      <c r="G10" s="201"/>
      <c r="H10" s="202"/>
    </row>
    <row r="11" spans="2:8" ht="15" thickBot="1" x14ac:dyDescent="0.35">
      <c r="B11" s="108"/>
      <c r="C11" s="111"/>
      <c r="D11" s="116"/>
      <c r="E11" s="117"/>
      <c r="F11" s="117"/>
      <c r="G11" s="118"/>
      <c r="H11" s="112"/>
    </row>
    <row r="12" spans="2:8" ht="15" thickTop="1" x14ac:dyDescent="0.3">
      <c r="B12" s="108"/>
      <c r="C12" s="203" t="s">
        <v>162</v>
      </c>
      <c r="D12" s="204"/>
      <c r="E12" s="205" t="s">
        <v>200</v>
      </c>
      <c r="F12" s="206"/>
      <c r="G12" s="111"/>
      <c r="H12" s="112"/>
    </row>
    <row r="13" spans="2:8" ht="35.25" customHeight="1" x14ac:dyDescent="0.3">
      <c r="B13" s="108"/>
      <c r="C13" s="210" t="s">
        <v>193</v>
      </c>
      <c r="D13" s="211"/>
      <c r="E13" s="212" t="s">
        <v>198</v>
      </c>
      <c r="F13" s="213"/>
      <c r="G13" s="111"/>
      <c r="H13" s="112"/>
    </row>
    <row r="14" spans="2:8" ht="17.25" customHeight="1" x14ac:dyDescent="0.3">
      <c r="B14" s="108"/>
      <c r="C14" s="210" t="s">
        <v>194</v>
      </c>
      <c r="D14" s="211"/>
      <c r="E14" s="212" t="s">
        <v>196</v>
      </c>
      <c r="F14" s="213"/>
      <c r="G14" s="111"/>
      <c r="H14" s="112"/>
    </row>
    <row r="15" spans="2:8" ht="19.5" customHeight="1" x14ac:dyDescent="0.3">
      <c r="B15" s="108"/>
      <c r="C15" s="210" t="s">
        <v>195</v>
      </c>
      <c r="D15" s="211"/>
      <c r="E15" s="212" t="s">
        <v>197</v>
      </c>
      <c r="F15" s="213"/>
      <c r="G15" s="111"/>
      <c r="H15" s="112"/>
    </row>
    <row r="16" spans="2:8" ht="69.75" customHeight="1" x14ac:dyDescent="0.3">
      <c r="B16" s="108"/>
      <c r="C16" s="210" t="s">
        <v>164</v>
      </c>
      <c r="D16" s="211"/>
      <c r="E16" s="212" t="s">
        <v>165</v>
      </c>
      <c r="F16" s="213"/>
      <c r="G16" s="111"/>
      <c r="H16" s="112"/>
    </row>
    <row r="17" spans="2:8" ht="34.5" customHeight="1" x14ac:dyDescent="0.3">
      <c r="B17" s="108"/>
      <c r="C17" s="214" t="s">
        <v>2</v>
      </c>
      <c r="D17" s="215"/>
      <c r="E17" s="216" t="s">
        <v>207</v>
      </c>
      <c r="F17" s="217"/>
      <c r="G17" s="111"/>
      <c r="H17" s="112"/>
    </row>
    <row r="18" spans="2:8" ht="27.75" customHeight="1" x14ac:dyDescent="0.3">
      <c r="B18" s="108"/>
      <c r="C18" s="214" t="s">
        <v>3</v>
      </c>
      <c r="D18" s="215"/>
      <c r="E18" s="216" t="s">
        <v>208</v>
      </c>
      <c r="F18" s="217"/>
      <c r="G18" s="111"/>
      <c r="H18" s="112"/>
    </row>
    <row r="19" spans="2:8" ht="28.5" customHeight="1" x14ac:dyDescent="0.3">
      <c r="B19" s="108"/>
      <c r="C19" s="214" t="s">
        <v>41</v>
      </c>
      <c r="D19" s="215"/>
      <c r="E19" s="216" t="s">
        <v>209</v>
      </c>
      <c r="F19" s="217"/>
      <c r="G19" s="111"/>
      <c r="H19" s="112"/>
    </row>
    <row r="20" spans="2:8" ht="72.75" customHeight="1" x14ac:dyDescent="0.3">
      <c r="B20" s="108"/>
      <c r="C20" s="214" t="s">
        <v>1</v>
      </c>
      <c r="D20" s="215"/>
      <c r="E20" s="216" t="s">
        <v>210</v>
      </c>
      <c r="F20" s="217"/>
      <c r="G20" s="111"/>
      <c r="H20" s="112"/>
    </row>
    <row r="21" spans="2:8" ht="64.5" customHeight="1" x14ac:dyDescent="0.3">
      <c r="B21" s="108"/>
      <c r="C21" s="214" t="s">
        <v>49</v>
      </c>
      <c r="D21" s="215"/>
      <c r="E21" s="216" t="s">
        <v>168</v>
      </c>
      <c r="F21" s="217"/>
      <c r="G21" s="111"/>
      <c r="H21" s="112"/>
    </row>
    <row r="22" spans="2:8" ht="71.25" customHeight="1" x14ac:dyDescent="0.3">
      <c r="B22" s="108"/>
      <c r="C22" s="214" t="s">
        <v>167</v>
      </c>
      <c r="D22" s="215"/>
      <c r="E22" s="216" t="s">
        <v>169</v>
      </c>
      <c r="F22" s="217"/>
      <c r="G22" s="111"/>
      <c r="H22" s="112"/>
    </row>
    <row r="23" spans="2:8" ht="55.5" customHeight="1" x14ac:dyDescent="0.3">
      <c r="B23" s="108"/>
      <c r="C23" s="221" t="s">
        <v>170</v>
      </c>
      <c r="D23" s="222"/>
      <c r="E23" s="216" t="s">
        <v>171</v>
      </c>
      <c r="F23" s="217"/>
      <c r="G23" s="111"/>
      <c r="H23" s="112"/>
    </row>
    <row r="24" spans="2:8" ht="42" customHeight="1" x14ac:dyDescent="0.3">
      <c r="B24" s="108"/>
      <c r="C24" s="221" t="s">
        <v>47</v>
      </c>
      <c r="D24" s="222"/>
      <c r="E24" s="216" t="s">
        <v>172</v>
      </c>
      <c r="F24" s="217"/>
      <c r="G24" s="111"/>
      <c r="H24" s="112"/>
    </row>
    <row r="25" spans="2:8" ht="59.25" customHeight="1" x14ac:dyDescent="0.3">
      <c r="B25" s="108"/>
      <c r="C25" s="221" t="s">
        <v>160</v>
      </c>
      <c r="D25" s="222"/>
      <c r="E25" s="216" t="s">
        <v>173</v>
      </c>
      <c r="F25" s="217"/>
      <c r="G25" s="111"/>
      <c r="H25" s="112"/>
    </row>
    <row r="26" spans="2:8" ht="23.25" customHeight="1" x14ac:dyDescent="0.3">
      <c r="B26" s="108"/>
      <c r="C26" s="221" t="s">
        <v>12</v>
      </c>
      <c r="D26" s="222"/>
      <c r="E26" s="216" t="s">
        <v>174</v>
      </c>
      <c r="F26" s="217"/>
      <c r="G26" s="111"/>
      <c r="H26" s="112"/>
    </row>
    <row r="27" spans="2:8" ht="30.75" customHeight="1" x14ac:dyDescent="0.3">
      <c r="B27" s="108"/>
      <c r="C27" s="221" t="s">
        <v>178</v>
      </c>
      <c r="D27" s="222"/>
      <c r="E27" s="216" t="s">
        <v>175</v>
      </c>
      <c r="F27" s="217"/>
      <c r="G27" s="111"/>
      <c r="H27" s="112"/>
    </row>
    <row r="28" spans="2:8" ht="35.25" customHeight="1" x14ac:dyDescent="0.3">
      <c r="B28" s="108"/>
      <c r="C28" s="221" t="s">
        <v>179</v>
      </c>
      <c r="D28" s="222"/>
      <c r="E28" s="216" t="s">
        <v>176</v>
      </c>
      <c r="F28" s="217"/>
      <c r="G28" s="111"/>
      <c r="H28" s="112"/>
    </row>
    <row r="29" spans="2:8" ht="33" customHeight="1" x14ac:dyDescent="0.3">
      <c r="B29" s="108"/>
      <c r="C29" s="221" t="s">
        <v>179</v>
      </c>
      <c r="D29" s="222"/>
      <c r="E29" s="216" t="s">
        <v>176</v>
      </c>
      <c r="F29" s="217"/>
      <c r="G29" s="111"/>
      <c r="H29" s="112"/>
    </row>
    <row r="30" spans="2:8" ht="30" customHeight="1" x14ac:dyDescent="0.3">
      <c r="B30" s="108"/>
      <c r="C30" s="221" t="s">
        <v>180</v>
      </c>
      <c r="D30" s="222"/>
      <c r="E30" s="216" t="s">
        <v>177</v>
      </c>
      <c r="F30" s="217"/>
      <c r="G30" s="111"/>
      <c r="H30" s="112"/>
    </row>
    <row r="31" spans="2:8" ht="35.25" customHeight="1" x14ac:dyDescent="0.3">
      <c r="B31" s="108"/>
      <c r="C31" s="221" t="s">
        <v>181</v>
      </c>
      <c r="D31" s="222"/>
      <c r="E31" s="216" t="s">
        <v>182</v>
      </c>
      <c r="F31" s="217"/>
      <c r="G31" s="111"/>
      <c r="H31" s="112"/>
    </row>
    <row r="32" spans="2:8" ht="31.5" customHeight="1" x14ac:dyDescent="0.3">
      <c r="B32" s="108"/>
      <c r="C32" s="221" t="s">
        <v>183</v>
      </c>
      <c r="D32" s="222"/>
      <c r="E32" s="216" t="s">
        <v>184</v>
      </c>
      <c r="F32" s="217"/>
      <c r="G32" s="111"/>
      <c r="H32" s="112"/>
    </row>
    <row r="33" spans="2:8" ht="35.25" customHeight="1" x14ac:dyDescent="0.3">
      <c r="B33" s="108"/>
      <c r="C33" s="221" t="s">
        <v>185</v>
      </c>
      <c r="D33" s="222"/>
      <c r="E33" s="216" t="s">
        <v>186</v>
      </c>
      <c r="F33" s="217"/>
      <c r="G33" s="111"/>
      <c r="H33" s="112"/>
    </row>
    <row r="34" spans="2:8" ht="59.25" customHeight="1" x14ac:dyDescent="0.3">
      <c r="B34" s="108"/>
      <c r="C34" s="221" t="s">
        <v>187</v>
      </c>
      <c r="D34" s="222"/>
      <c r="E34" s="216" t="s">
        <v>188</v>
      </c>
      <c r="F34" s="217"/>
      <c r="G34" s="111"/>
      <c r="H34" s="112"/>
    </row>
    <row r="35" spans="2:8" ht="29.25" customHeight="1" x14ac:dyDescent="0.3">
      <c r="B35" s="108"/>
      <c r="C35" s="221" t="s">
        <v>29</v>
      </c>
      <c r="D35" s="222"/>
      <c r="E35" s="216" t="s">
        <v>189</v>
      </c>
      <c r="F35" s="217"/>
      <c r="G35" s="111"/>
      <c r="H35" s="112"/>
    </row>
    <row r="36" spans="2:8" ht="82.5" customHeight="1" x14ac:dyDescent="0.3">
      <c r="B36" s="108"/>
      <c r="C36" s="221" t="s">
        <v>191</v>
      </c>
      <c r="D36" s="222"/>
      <c r="E36" s="216" t="s">
        <v>190</v>
      </c>
      <c r="F36" s="217"/>
      <c r="G36" s="111"/>
      <c r="H36" s="112"/>
    </row>
    <row r="37" spans="2:8" ht="46.5" customHeight="1" x14ac:dyDescent="0.3">
      <c r="B37" s="108"/>
      <c r="C37" s="221" t="s">
        <v>38</v>
      </c>
      <c r="D37" s="222"/>
      <c r="E37" s="216" t="s">
        <v>192</v>
      </c>
      <c r="F37" s="217"/>
      <c r="G37" s="111"/>
      <c r="H37" s="112"/>
    </row>
    <row r="38" spans="2:8" ht="6.75" customHeight="1" thickBot="1" x14ac:dyDescent="0.35">
      <c r="B38" s="108"/>
      <c r="C38" s="223"/>
      <c r="D38" s="224"/>
      <c r="E38" s="225"/>
      <c r="F38" s="226"/>
      <c r="G38" s="111"/>
      <c r="H38" s="112"/>
    </row>
    <row r="39" spans="2:8" ht="15" thickTop="1" x14ac:dyDescent="0.3">
      <c r="B39" s="108"/>
      <c r="C39" s="109"/>
      <c r="D39" s="109"/>
      <c r="E39" s="110"/>
      <c r="F39" s="110"/>
      <c r="G39" s="111"/>
      <c r="H39" s="112"/>
    </row>
    <row r="40" spans="2:8" ht="21" customHeight="1" x14ac:dyDescent="0.3">
      <c r="B40" s="218" t="s">
        <v>201</v>
      </c>
      <c r="C40" s="219"/>
      <c r="D40" s="219"/>
      <c r="E40" s="219"/>
      <c r="F40" s="219"/>
      <c r="G40" s="219"/>
      <c r="H40" s="220"/>
    </row>
    <row r="41" spans="2:8" ht="20.25" customHeight="1" x14ac:dyDescent="0.3">
      <c r="B41" s="218" t="s">
        <v>202</v>
      </c>
      <c r="C41" s="219"/>
      <c r="D41" s="219"/>
      <c r="E41" s="219"/>
      <c r="F41" s="219"/>
      <c r="G41" s="219"/>
      <c r="H41" s="220"/>
    </row>
    <row r="42" spans="2:8" ht="20.25" customHeight="1" x14ac:dyDescent="0.3">
      <c r="B42" s="218" t="s">
        <v>203</v>
      </c>
      <c r="C42" s="219"/>
      <c r="D42" s="219"/>
      <c r="E42" s="219"/>
      <c r="F42" s="219"/>
      <c r="G42" s="219"/>
      <c r="H42" s="220"/>
    </row>
    <row r="43" spans="2:8" ht="20.25" customHeight="1" x14ac:dyDescent="0.3">
      <c r="B43" s="218" t="s">
        <v>204</v>
      </c>
      <c r="C43" s="219"/>
      <c r="D43" s="219"/>
      <c r="E43" s="219"/>
      <c r="F43" s="219"/>
      <c r="G43" s="219"/>
      <c r="H43" s="220"/>
    </row>
    <row r="44" spans="2:8" x14ac:dyDescent="0.3">
      <c r="B44" s="218" t="s">
        <v>205</v>
      </c>
      <c r="C44" s="219"/>
      <c r="D44" s="219"/>
      <c r="E44" s="219"/>
      <c r="F44" s="219"/>
      <c r="G44" s="219"/>
      <c r="H44" s="220"/>
    </row>
    <row r="45" spans="2:8" ht="15" thickBot="1" x14ac:dyDescent="0.35">
      <c r="B45" s="113"/>
      <c r="C45" s="114"/>
      <c r="D45" s="114"/>
      <c r="E45" s="114"/>
      <c r="F45" s="114"/>
      <c r="G45" s="114"/>
      <c r="H45" s="115"/>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69"/>
  <sheetViews>
    <sheetView tabSelected="1" zoomScale="80" zoomScaleNormal="80" workbookViewId="0">
      <selection activeCell="AF10" sqref="AF10"/>
    </sheetView>
  </sheetViews>
  <sheetFormatPr baseColWidth="10" defaultColWidth="11.44140625" defaultRowHeight="13.8" x14ac:dyDescent="0.25"/>
  <cols>
    <col min="1" max="1" width="4" style="2" bestFit="1" customWidth="1"/>
    <col min="2" max="2" width="14.109375" style="2" customWidth="1"/>
    <col min="3" max="3" width="39.109375" style="2" customWidth="1"/>
    <col min="4" max="4" width="48.33203125" style="2" customWidth="1"/>
    <col min="5" max="5" width="46.109375" style="1" customWidth="1"/>
    <col min="6" max="6" width="19" style="5" customWidth="1"/>
    <col min="7" max="7" width="17.88671875" style="1" customWidth="1"/>
    <col min="8" max="8" width="16.5546875" style="1" customWidth="1"/>
    <col min="9" max="9" width="6.33203125" style="1" bestFit="1" customWidth="1"/>
    <col min="10" max="10" width="27.33203125" style="1" bestFit="1" customWidth="1"/>
    <col min="11" max="11" width="30.44140625" style="1" hidden="1" customWidth="1"/>
    <col min="12" max="12" width="17.5546875" style="1" customWidth="1"/>
    <col min="13" max="13" width="6.33203125" style="1" bestFit="1" customWidth="1"/>
    <col min="14" max="14" width="16" style="1" customWidth="1"/>
    <col min="15" max="15" width="5.88671875" style="1" customWidth="1"/>
    <col min="16" max="16" width="31" style="1" customWidth="1"/>
    <col min="17" max="17" width="15.109375" style="1" bestFit="1" customWidth="1"/>
    <col min="18" max="18" width="6.88671875" style="1" customWidth="1"/>
    <col min="19" max="19" width="5" style="1" customWidth="1"/>
    <col min="20" max="20" width="5.5546875" style="1" customWidth="1"/>
    <col min="21" max="21" width="7.109375" style="1" customWidth="1"/>
    <col min="22" max="22" width="6.6640625" style="1" customWidth="1"/>
    <col min="23" max="23" width="7.5546875" style="1" customWidth="1"/>
    <col min="24" max="24" width="11.88671875" style="1" customWidth="1"/>
    <col min="25" max="25" width="8.6640625" style="1" customWidth="1"/>
    <col min="26" max="26" width="10.44140625" style="1" customWidth="1"/>
    <col min="27" max="27" width="9.33203125" style="1" customWidth="1"/>
    <col min="28" max="28" width="9.109375" style="1" customWidth="1"/>
    <col min="29" max="29" width="8.44140625" style="1" customWidth="1"/>
    <col min="30" max="30" width="7.33203125" style="1" customWidth="1"/>
    <col min="31" max="31" width="37" style="1" customWidth="1"/>
    <col min="32" max="32" width="23" style="1" customWidth="1"/>
    <col min="33" max="33" width="22.6640625" style="1" customWidth="1"/>
    <col min="34" max="34" width="16.88671875" style="1" customWidth="1"/>
    <col min="35" max="35" width="14.88671875" style="1" customWidth="1"/>
    <col min="36" max="36" width="33.6640625" style="1" customWidth="1"/>
    <col min="37" max="37" width="21" style="1" customWidth="1"/>
    <col min="38" max="16384" width="11.44140625" style="1"/>
  </cols>
  <sheetData>
    <row r="1" spans="1:69" ht="16.5" customHeight="1" x14ac:dyDescent="0.25">
      <c r="A1" s="285"/>
      <c r="B1" s="285"/>
      <c r="C1" s="285"/>
      <c r="D1" s="285"/>
      <c r="E1" s="290" t="s">
        <v>283</v>
      </c>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2"/>
      <c r="AJ1" s="293" t="s">
        <v>284</v>
      </c>
      <c r="AK1" s="294"/>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ht="97.8" customHeight="1" x14ac:dyDescent="0.25">
      <c r="A2" s="285"/>
      <c r="B2" s="285"/>
      <c r="C2" s="285"/>
      <c r="D2" s="285"/>
      <c r="E2" s="295" t="s">
        <v>285</v>
      </c>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7"/>
      <c r="AJ2" s="293" t="s">
        <v>286</v>
      </c>
      <c r="AK2" s="294"/>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3" spans="1:69" x14ac:dyDescent="0.25">
      <c r="A3" s="27"/>
      <c r="B3" s="28"/>
      <c r="C3" s="27"/>
      <c r="D3" s="27"/>
      <c r="E3" s="7"/>
      <c r="F3" s="26"/>
      <c r="G3" s="7"/>
      <c r="H3" s="7"/>
      <c r="I3" s="7"/>
      <c r="J3" s="7"/>
      <c r="K3" s="7"/>
      <c r="L3" s="7"/>
      <c r="M3" s="7"/>
      <c r="N3" s="7"/>
      <c r="O3" s="7"/>
      <c r="P3" s="7"/>
      <c r="Q3" s="7"/>
      <c r="R3" s="7"/>
      <c r="S3" s="7"/>
      <c r="T3" s="7"/>
      <c r="U3" s="7"/>
      <c r="V3" s="7"/>
      <c r="W3" s="7"/>
      <c r="X3" s="7"/>
      <c r="Y3" s="7"/>
      <c r="Z3" s="7"/>
      <c r="AA3" s="7"/>
      <c r="AB3" s="7"/>
      <c r="AC3" s="7"/>
      <c r="AD3" s="7"/>
      <c r="AE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26.25" customHeight="1" x14ac:dyDescent="0.25">
      <c r="A4" s="451" t="s">
        <v>42</v>
      </c>
      <c r="B4" s="452"/>
      <c r="C4" s="298" t="s">
        <v>214</v>
      </c>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31.8" customHeight="1" x14ac:dyDescent="0.25">
      <c r="A5" s="451" t="s">
        <v>129</v>
      </c>
      <c r="B5" s="452"/>
      <c r="C5" s="299" t="s">
        <v>269</v>
      </c>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30.6" customHeight="1" x14ac:dyDescent="0.25">
      <c r="A6" s="451" t="s">
        <v>43</v>
      </c>
      <c r="B6" s="452"/>
      <c r="C6" s="299" t="s">
        <v>270</v>
      </c>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x14ac:dyDescent="0.25">
      <c r="A7" s="286" t="s">
        <v>137</v>
      </c>
      <c r="B7" s="287"/>
      <c r="C7" s="288"/>
      <c r="D7" s="288"/>
      <c r="E7" s="288"/>
      <c r="F7" s="288"/>
      <c r="G7" s="289"/>
      <c r="H7" s="238" t="s">
        <v>138</v>
      </c>
      <c r="I7" s="288"/>
      <c r="J7" s="288"/>
      <c r="K7" s="288"/>
      <c r="L7" s="288"/>
      <c r="M7" s="288"/>
      <c r="N7" s="289"/>
      <c r="O7" s="238" t="s">
        <v>139</v>
      </c>
      <c r="P7" s="288"/>
      <c r="Q7" s="288"/>
      <c r="R7" s="288"/>
      <c r="S7" s="288"/>
      <c r="T7" s="288"/>
      <c r="U7" s="288"/>
      <c r="V7" s="288"/>
      <c r="W7" s="289"/>
      <c r="X7" s="238" t="s">
        <v>140</v>
      </c>
      <c r="Y7" s="288"/>
      <c r="Z7" s="288"/>
      <c r="AA7" s="288"/>
      <c r="AB7" s="288"/>
      <c r="AC7" s="288"/>
      <c r="AD7" s="289"/>
      <c r="AE7" s="238" t="s">
        <v>277</v>
      </c>
      <c r="AF7" s="288"/>
      <c r="AG7" s="288"/>
      <c r="AH7" s="288"/>
      <c r="AI7" s="288"/>
      <c r="AJ7" s="288"/>
      <c r="AK7" s="289"/>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16.5" customHeight="1" x14ac:dyDescent="0.25">
      <c r="A8" s="258" t="s">
        <v>0</v>
      </c>
      <c r="B8" s="261" t="s">
        <v>2</v>
      </c>
      <c r="C8" s="234" t="s">
        <v>3</v>
      </c>
      <c r="D8" s="234" t="s">
        <v>41</v>
      </c>
      <c r="E8" s="260" t="s">
        <v>1</v>
      </c>
      <c r="F8" s="233" t="s">
        <v>49</v>
      </c>
      <c r="G8" s="234" t="s">
        <v>133</v>
      </c>
      <c r="H8" s="236" t="s">
        <v>33</v>
      </c>
      <c r="I8" s="237" t="s">
        <v>5</v>
      </c>
      <c r="J8" s="233" t="s">
        <v>86</v>
      </c>
      <c r="K8" s="233" t="s">
        <v>91</v>
      </c>
      <c r="L8" s="248" t="s">
        <v>44</v>
      </c>
      <c r="M8" s="237" t="s">
        <v>5</v>
      </c>
      <c r="N8" s="234" t="s">
        <v>47</v>
      </c>
      <c r="O8" s="242" t="s">
        <v>11</v>
      </c>
      <c r="P8" s="235" t="s">
        <v>160</v>
      </c>
      <c r="Q8" s="233" t="s">
        <v>12</v>
      </c>
      <c r="R8" s="235" t="s">
        <v>8</v>
      </c>
      <c r="S8" s="235"/>
      <c r="T8" s="235"/>
      <c r="U8" s="235"/>
      <c r="V8" s="235"/>
      <c r="W8" s="235"/>
      <c r="X8" s="244" t="s">
        <v>136</v>
      </c>
      <c r="Y8" s="244" t="s">
        <v>45</v>
      </c>
      <c r="Z8" s="244" t="s">
        <v>5</v>
      </c>
      <c r="AA8" s="244" t="s">
        <v>46</v>
      </c>
      <c r="AB8" s="244" t="s">
        <v>5</v>
      </c>
      <c r="AC8" s="244" t="s">
        <v>48</v>
      </c>
      <c r="AD8" s="242" t="s">
        <v>29</v>
      </c>
      <c r="AE8" s="235" t="s">
        <v>34</v>
      </c>
      <c r="AF8" s="235" t="s">
        <v>212</v>
      </c>
      <c r="AG8" s="235" t="s">
        <v>35</v>
      </c>
      <c r="AH8" s="235" t="s">
        <v>36</v>
      </c>
      <c r="AI8" s="235" t="s">
        <v>37</v>
      </c>
      <c r="AJ8" s="235" t="s">
        <v>287</v>
      </c>
      <c r="AK8" s="235" t="s">
        <v>38</v>
      </c>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s="4" customFormat="1" ht="35.25" customHeight="1" x14ac:dyDescent="0.3">
      <c r="A9" s="259"/>
      <c r="B9" s="261"/>
      <c r="C9" s="235"/>
      <c r="D9" s="235"/>
      <c r="E9" s="261"/>
      <c r="F9" s="234"/>
      <c r="G9" s="235"/>
      <c r="H9" s="234"/>
      <c r="I9" s="238"/>
      <c r="J9" s="234"/>
      <c r="K9" s="234"/>
      <c r="L9" s="238"/>
      <c r="M9" s="238"/>
      <c r="N9" s="235"/>
      <c r="O9" s="243"/>
      <c r="P9" s="235"/>
      <c r="Q9" s="234"/>
      <c r="R9" s="187" t="s">
        <v>13</v>
      </c>
      <c r="S9" s="187" t="s">
        <v>17</v>
      </c>
      <c r="T9" s="187" t="s">
        <v>28</v>
      </c>
      <c r="U9" s="187" t="s">
        <v>18</v>
      </c>
      <c r="V9" s="187" t="s">
        <v>21</v>
      </c>
      <c r="W9" s="187" t="s">
        <v>24</v>
      </c>
      <c r="X9" s="244"/>
      <c r="Y9" s="244"/>
      <c r="Z9" s="244"/>
      <c r="AA9" s="244"/>
      <c r="AB9" s="244"/>
      <c r="AC9" s="244"/>
      <c r="AD9" s="243"/>
      <c r="AE9" s="235"/>
      <c r="AF9" s="235"/>
      <c r="AG9" s="235"/>
      <c r="AH9" s="235"/>
      <c r="AI9" s="235"/>
      <c r="AJ9" s="235"/>
      <c r="AK9" s="235"/>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row>
    <row r="10" spans="1:69" s="3" customFormat="1" ht="116.25" customHeight="1" x14ac:dyDescent="0.3">
      <c r="A10" s="262">
        <v>1</v>
      </c>
      <c r="B10" s="249" t="s">
        <v>132</v>
      </c>
      <c r="C10" s="249" t="s">
        <v>239</v>
      </c>
      <c r="D10" s="249" t="s">
        <v>233</v>
      </c>
      <c r="E10" s="265" t="s">
        <v>256</v>
      </c>
      <c r="F10" s="249" t="s">
        <v>122</v>
      </c>
      <c r="G10" s="252">
        <v>1000</v>
      </c>
      <c r="H10" s="227" t="str">
        <f>IF(G10&lt;=0,"",IF(G10&lt;=2,"Muy Baja",IF(G10&lt;=24,"Baja",IF(G10&lt;=500,"Media",IF(G10&lt;=5000,"Alta","Muy Alta")))))</f>
        <v>Alta</v>
      </c>
      <c r="I10" s="230">
        <f>IF(H10="","",IF(H10="Muy Baja",0.2,IF(H10="Baja",0.4,IF(H10="Media",0.6,IF(H10="Alta",0.8,IF(H10="Muy Alta",1,))))))</f>
        <v>0.8</v>
      </c>
      <c r="J10" s="255" t="s">
        <v>153</v>
      </c>
      <c r="K10" s="230" t="str">
        <f>IF(NOT(ISERROR(MATCH(J10,'Tabla Impacto'!$B$221:$B$223,0))),'Tabla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227" t="str">
        <f>IF(OR(K10='Tabla Impacto'!$C$11,K10='Tabla Impacto'!$D$11),"Leve",IF(OR(K10='Tabla Impacto'!$C$12,K10='Tabla Impacto'!$D$12),"Menor",IF(OR(K10='Tabla Impacto'!$C$13,K10='Tabla Impacto'!$D$13),"Moderado",IF(OR(K10='Tabla Impacto'!$C$14,K10='Tabla Impacto'!$D$14),"Mayor",IF(OR(K10='Tabla Impacto'!$C$15,K10='Tabla Impacto'!$D$15),"Catastrófico","")))))</f>
        <v>Mayor</v>
      </c>
      <c r="M10" s="230">
        <f>IF(L10="","",IF(L10="Leve",0.2,IF(L10="Menor",0.4,IF(L10="Moderado",0.6,IF(L10="Mayor",0.8,IF(L10="Catastrófico",1,))))))</f>
        <v>0.8</v>
      </c>
      <c r="N10" s="23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6">
        <v>1</v>
      </c>
      <c r="P10" s="162" t="s">
        <v>234</v>
      </c>
      <c r="Q10" s="138" t="str">
        <f>IF(OR(R10="Preventivo",R10="Detectivo"),"Probabilidad",IF(R10="Correctivo","Impacto",""))</f>
        <v>Probabilidad</v>
      </c>
      <c r="R10" s="139" t="s">
        <v>14</v>
      </c>
      <c r="S10" s="139" t="s">
        <v>9</v>
      </c>
      <c r="T10" s="140" t="str">
        <f>IF(AND(R10="Preventivo",S10="Automático"),"50%",IF(AND(R10="Preventivo",S10="Manual"),"40%",IF(AND(R10="Detectivo",S10="Automático"),"40%",IF(AND(R10="Detectivo",S10="Manual"),"30%",IF(AND(R10="Correctivo",S10="Automático"),"35%",IF(AND(R10="Correctivo",S10="Manual"),"25%",""))))))</f>
        <v>40%</v>
      </c>
      <c r="U10" s="139" t="s">
        <v>19</v>
      </c>
      <c r="V10" s="139" t="s">
        <v>22</v>
      </c>
      <c r="W10" s="139" t="s">
        <v>118</v>
      </c>
      <c r="X10" s="141">
        <f>IFERROR(IF(Q10="Probabilidad",(I10-(+I10*T10)),IF(Q10="Impacto",I10,"")),"")</f>
        <v>0.48</v>
      </c>
      <c r="Y10" s="142" t="str">
        <f>IFERROR(IF(X10="","",IF(X10&lt;=0.2,"Muy Baja",IF(X10&lt;=0.4,"Baja",IF(X10&lt;=0.6,"Media",IF(X10&lt;=0.8,"Alta","Muy Alta"))))),"")</f>
        <v>Media</v>
      </c>
      <c r="Z10" s="143">
        <f>+X10</f>
        <v>0.48</v>
      </c>
      <c r="AA10" s="142" t="str">
        <f>IFERROR(IF(AB10="","",IF(AB10&lt;=0.2,"Leve",IF(AB10&lt;=0.4,"Menor",IF(AB10&lt;=0.6,"Moderado",IF(AB10&lt;=0.8,"Mayor","Catastrófico"))))),"")</f>
        <v>Mayor</v>
      </c>
      <c r="AB10" s="143">
        <f>IFERROR(IF(Q10="Impacto",(M10-(+M10*T10)),IF(Q10="Probabilidad",M10,"")),"")</f>
        <v>0.8</v>
      </c>
      <c r="AC10" s="144"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45" t="s">
        <v>135</v>
      </c>
      <c r="AE10" s="183" t="s">
        <v>278</v>
      </c>
      <c r="AF10" s="146" t="s">
        <v>213</v>
      </c>
      <c r="AG10" s="183" t="s">
        <v>235</v>
      </c>
      <c r="AH10" s="184" t="s">
        <v>280</v>
      </c>
      <c r="AI10" s="184" t="s">
        <v>279</v>
      </c>
      <c r="AJ10" s="183" t="s">
        <v>281</v>
      </c>
      <c r="AK10" s="148" t="s">
        <v>40</v>
      </c>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row>
    <row r="11" spans="1:69" ht="218.4" hidden="1" customHeight="1" x14ac:dyDescent="0.25">
      <c r="A11" s="263"/>
      <c r="B11" s="250"/>
      <c r="C11" s="250"/>
      <c r="D11" s="250"/>
      <c r="E11" s="266"/>
      <c r="F11" s="250"/>
      <c r="G11" s="253"/>
      <c r="H11" s="228"/>
      <c r="I11" s="231"/>
      <c r="J11" s="256"/>
      <c r="K11" s="231">
        <f>IF(NOT(ISERROR(MATCH(J11,_xlfn.ANCHORARRAY(E22),0))),I24&amp;"Por favor no seleccionar los criterios de impacto",J11)</f>
        <v>0</v>
      </c>
      <c r="L11" s="228"/>
      <c r="M11" s="231"/>
      <c r="N11" s="240"/>
      <c r="O11" s="6">
        <v>2</v>
      </c>
      <c r="P11" s="163"/>
      <c r="Q11" s="138"/>
      <c r="R11" s="139"/>
      <c r="S11" s="139"/>
      <c r="T11" s="140"/>
      <c r="U11" s="139"/>
      <c r="V11" s="139"/>
      <c r="W11" s="139"/>
      <c r="X11" s="141"/>
      <c r="Y11" s="142"/>
      <c r="Z11" s="143"/>
      <c r="AA11" s="142"/>
      <c r="AB11" s="143"/>
      <c r="AC11" s="144"/>
      <c r="AD11" s="131"/>
      <c r="AE11" s="146"/>
      <c r="AF11" s="146"/>
      <c r="AG11" s="146" t="s">
        <v>215</v>
      </c>
      <c r="AH11" s="147"/>
      <c r="AI11" s="147"/>
      <c r="AJ11" s="132"/>
      <c r="AK11" s="133"/>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row>
    <row r="12" spans="1:69" ht="151.5" hidden="1" customHeight="1" x14ac:dyDescent="0.25">
      <c r="A12" s="263"/>
      <c r="B12" s="250"/>
      <c r="C12" s="250"/>
      <c r="D12" s="250"/>
      <c r="E12" s="266"/>
      <c r="F12" s="250"/>
      <c r="G12" s="253"/>
      <c r="H12" s="228"/>
      <c r="I12" s="231"/>
      <c r="J12" s="256"/>
      <c r="K12" s="231">
        <f>IF(NOT(ISERROR(MATCH(J12,_xlfn.ANCHORARRAY(E23),0))),I25&amp;"Por favor no seleccionar los criterios de impacto",J12)</f>
        <v>0</v>
      </c>
      <c r="L12" s="228"/>
      <c r="M12" s="231"/>
      <c r="N12" s="240"/>
      <c r="O12" s="122">
        <v>3</v>
      </c>
      <c r="P12" s="135"/>
      <c r="Q12" s="124" t="str">
        <f>IF(OR(R12="Preventivo",R12="Detectivo"),"Probabilidad",IF(R12="Correctivo","Impacto",""))</f>
        <v/>
      </c>
      <c r="R12" s="125"/>
      <c r="S12" s="125"/>
      <c r="T12" s="126" t="str">
        <f t="shared" ref="T12:T15" si="0">IF(AND(R12="Preventivo",S12="Automático"),"50%",IF(AND(R12="Preventivo",S12="Manual"),"40%",IF(AND(R12="Detectivo",S12="Automático"),"40%",IF(AND(R12="Detectivo",S12="Manual"),"30%",IF(AND(R12="Correctivo",S12="Automático"),"35%",IF(AND(R12="Correctivo",S12="Manual"),"25%",""))))))</f>
        <v/>
      </c>
      <c r="U12" s="125"/>
      <c r="V12" s="125"/>
      <c r="W12" s="125"/>
      <c r="X12" s="127" t="str">
        <f>IFERROR(IF(AND(Q11="Probabilidad",Q12="Probabilidad"),(Z11-(+Z11*T12)),IF(AND(Q11="Impacto",Q12="Probabilidad"),(Z10-(+Z10*T12)),IF(Q12="Impacto",Z11,""))),"")</f>
        <v/>
      </c>
      <c r="Y12" s="128" t="str">
        <f t="shared" ref="Y12:Y66" si="1">IFERROR(IF(X12="","",IF(X12&lt;=0.2,"Muy Baja",IF(X12&lt;=0.4,"Baja",IF(X12&lt;=0.6,"Media",IF(X12&lt;=0.8,"Alta","Muy Alta"))))),"")</f>
        <v/>
      </c>
      <c r="Z12" s="129" t="str">
        <f t="shared" ref="Z12:Z15" si="2">+X12</f>
        <v/>
      </c>
      <c r="AA12" s="128" t="str">
        <f t="shared" ref="AA12:AA66" si="3">IFERROR(IF(AB12="","",IF(AB12&lt;=0.2,"Leve",IF(AB12&lt;=0.4,"Menor",IF(AB12&lt;=0.6,"Moderado",IF(AB12&lt;=0.8,"Mayor","Catastrófico"))))),"")</f>
        <v/>
      </c>
      <c r="AB12" s="129" t="str">
        <f>IFERROR(IF(AND(Q11="Impacto",Q12="Impacto"),(AB11-(+AB11*T12)),IF(AND(Q11="Probabilidad",Q12="Impacto"),(AB10-(+AB10*T12)),IF(Q12="Probabilidad",AB11,""))),"")</f>
        <v/>
      </c>
      <c r="AC12" s="130" t="str">
        <f t="shared" ref="AC12:AC15" si="4">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
      </c>
      <c r="AD12" s="131"/>
      <c r="AE12" s="132"/>
      <c r="AF12" s="146" t="s">
        <v>213</v>
      </c>
      <c r="AG12" s="146" t="s">
        <v>215</v>
      </c>
      <c r="AH12" s="134"/>
      <c r="AI12" s="134"/>
      <c r="AJ12" s="132"/>
      <c r="AK12" s="133"/>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row>
    <row r="13" spans="1:69" ht="151.5" hidden="1" customHeight="1" x14ac:dyDescent="0.25">
      <c r="A13" s="263"/>
      <c r="B13" s="250"/>
      <c r="C13" s="250"/>
      <c r="D13" s="250"/>
      <c r="E13" s="266"/>
      <c r="F13" s="250"/>
      <c r="G13" s="253"/>
      <c r="H13" s="228"/>
      <c r="I13" s="231"/>
      <c r="J13" s="256"/>
      <c r="K13" s="231">
        <f>IF(NOT(ISERROR(MATCH(J13,_xlfn.ANCHORARRAY(E24),0))),I26&amp;"Por favor no seleccionar los criterios de impacto",J13)</f>
        <v>0</v>
      </c>
      <c r="L13" s="228"/>
      <c r="M13" s="231"/>
      <c r="N13" s="240"/>
      <c r="O13" s="122">
        <v>4</v>
      </c>
      <c r="P13" s="123"/>
      <c r="Q13" s="124" t="str">
        <f t="shared" ref="Q13:Q15" si="5">IF(OR(R13="Preventivo",R13="Detectivo"),"Probabilidad",IF(R13="Correctivo","Impacto",""))</f>
        <v/>
      </c>
      <c r="R13" s="125"/>
      <c r="S13" s="125"/>
      <c r="T13" s="126" t="str">
        <f t="shared" si="0"/>
        <v/>
      </c>
      <c r="U13" s="125"/>
      <c r="V13" s="125"/>
      <c r="W13" s="125"/>
      <c r="X13" s="127" t="str">
        <f t="shared" ref="X13:X15" si="6">IFERROR(IF(AND(Q12="Probabilidad",Q13="Probabilidad"),(Z12-(+Z12*T13)),IF(AND(Q12="Impacto",Q13="Probabilidad"),(Z11-(+Z11*T13)),IF(Q13="Impacto",Z12,""))),"")</f>
        <v/>
      </c>
      <c r="Y13" s="128" t="str">
        <f t="shared" si="1"/>
        <v/>
      </c>
      <c r="Z13" s="129" t="str">
        <f t="shared" si="2"/>
        <v/>
      </c>
      <c r="AA13" s="128" t="str">
        <f t="shared" si="3"/>
        <v/>
      </c>
      <c r="AB13" s="129" t="str">
        <f t="shared" ref="AB13:AB15" si="7">IFERROR(IF(AND(Q12="Impacto",Q13="Impacto"),(AB12-(+AB12*T13)),IF(AND(Q12="Probabilidad",Q13="Impacto"),(AB11-(+AB11*T13)),IF(Q13="Probabilidad",AB12,""))),"")</f>
        <v/>
      </c>
      <c r="AC13" s="130"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1"/>
      <c r="AE13" s="132"/>
      <c r="AF13" s="146" t="s">
        <v>213</v>
      </c>
      <c r="AG13" s="146" t="s">
        <v>215</v>
      </c>
      <c r="AH13" s="134"/>
      <c r="AI13" s="134"/>
      <c r="AJ13" s="132"/>
      <c r="AK13" s="133"/>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ht="151.5" hidden="1" customHeight="1" x14ac:dyDescent="0.25">
      <c r="A14" s="263"/>
      <c r="B14" s="250"/>
      <c r="C14" s="250"/>
      <c r="D14" s="250"/>
      <c r="E14" s="266"/>
      <c r="F14" s="250"/>
      <c r="G14" s="253"/>
      <c r="H14" s="228"/>
      <c r="I14" s="231"/>
      <c r="J14" s="256"/>
      <c r="K14" s="231">
        <f>IF(NOT(ISERROR(MATCH(J14,_xlfn.ANCHORARRAY(E25),0))),I27&amp;"Por favor no seleccionar los criterios de impacto",J14)</f>
        <v>0</v>
      </c>
      <c r="L14" s="228"/>
      <c r="M14" s="231"/>
      <c r="N14" s="240"/>
      <c r="O14" s="122">
        <v>5</v>
      </c>
      <c r="P14" s="123"/>
      <c r="Q14" s="124" t="str">
        <f t="shared" si="5"/>
        <v/>
      </c>
      <c r="R14" s="125"/>
      <c r="S14" s="125"/>
      <c r="T14" s="126" t="str">
        <f t="shared" si="0"/>
        <v/>
      </c>
      <c r="U14" s="125"/>
      <c r="V14" s="125"/>
      <c r="W14" s="125"/>
      <c r="X14" s="127" t="str">
        <f t="shared" si="6"/>
        <v/>
      </c>
      <c r="Y14" s="128" t="str">
        <f t="shared" si="1"/>
        <v/>
      </c>
      <c r="Z14" s="129" t="str">
        <f t="shared" si="2"/>
        <v/>
      </c>
      <c r="AA14" s="128" t="str">
        <f t="shared" si="3"/>
        <v/>
      </c>
      <c r="AB14" s="129" t="str">
        <f t="shared" si="7"/>
        <v/>
      </c>
      <c r="AC14" s="130" t="str">
        <f t="shared" si="4"/>
        <v/>
      </c>
      <c r="AD14" s="131"/>
      <c r="AE14" s="132"/>
      <c r="AF14" s="146" t="s">
        <v>213</v>
      </c>
      <c r="AG14" s="146" t="s">
        <v>215</v>
      </c>
      <c r="AH14" s="134"/>
      <c r="AI14" s="134"/>
      <c r="AJ14" s="132"/>
      <c r="AK14" s="133"/>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ht="14.4" hidden="1" customHeight="1" x14ac:dyDescent="0.25">
      <c r="A15" s="264"/>
      <c r="B15" s="251"/>
      <c r="C15" s="251"/>
      <c r="D15" s="251"/>
      <c r="E15" s="267"/>
      <c r="F15" s="251"/>
      <c r="G15" s="254"/>
      <c r="H15" s="229"/>
      <c r="I15" s="232"/>
      <c r="J15" s="257"/>
      <c r="K15" s="232">
        <f>IF(NOT(ISERROR(MATCH(J15,_xlfn.ANCHORARRAY(E26),0))),I28&amp;"Por favor no seleccionar los criterios de impacto",J15)</f>
        <v>0</v>
      </c>
      <c r="L15" s="229"/>
      <c r="M15" s="232"/>
      <c r="N15" s="241"/>
      <c r="O15" s="122">
        <v>6</v>
      </c>
      <c r="P15" s="123"/>
      <c r="Q15" s="124" t="str">
        <f t="shared" si="5"/>
        <v/>
      </c>
      <c r="R15" s="125"/>
      <c r="S15" s="125"/>
      <c r="T15" s="126" t="str">
        <f t="shared" si="0"/>
        <v/>
      </c>
      <c r="U15" s="125"/>
      <c r="V15" s="125"/>
      <c r="W15" s="125"/>
      <c r="X15" s="127" t="str">
        <f t="shared" si="6"/>
        <v/>
      </c>
      <c r="Y15" s="128" t="str">
        <f t="shared" si="1"/>
        <v/>
      </c>
      <c r="Z15" s="129" t="str">
        <f t="shared" si="2"/>
        <v/>
      </c>
      <c r="AA15" s="128" t="str">
        <f t="shared" si="3"/>
        <v/>
      </c>
      <c r="AB15" s="129" t="str">
        <f t="shared" si="7"/>
        <v/>
      </c>
      <c r="AC15" s="130" t="str">
        <f t="shared" si="4"/>
        <v/>
      </c>
      <c r="AD15" s="131"/>
      <c r="AE15" s="132"/>
      <c r="AF15" s="146" t="s">
        <v>213</v>
      </c>
      <c r="AG15" s="146" t="s">
        <v>215</v>
      </c>
      <c r="AH15" s="134"/>
      <c r="AI15" s="134"/>
      <c r="AJ15" s="132"/>
      <c r="AK15" s="133"/>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ht="96" customHeight="1" x14ac:dyDescent="0.25">
      <c r="A16" s="262">
        <v>2</v>
      </c>
      <c r="B16" s="249" t="s">
        <v>132</v>
      </c>
      <c r="C16" s="249" t="s">
        <v>240</v>
      </c>
      <c r="D16" s="249" t="s">
        <v>238</v>
      </c>
      <c r="E16" s="265" t="s">
        <v>265</v>
      </c>
      <c r="F16" s="249" t="s">
        <v>122</v>
      </c>
      <c r="G16" s="252">
        <v>12</v>
      </c>
      <c r="H16" s="227" t="str">
        <f>IF(G16&lt;=0,"",IF(G16&lt;=2,"Muy Baja",IF(G16&lt;=24,"Baja",IF(G16&lt;=500,"Media",IF(G16&lt;=5000,"Alta","Muy Alta")))))</f>
        <v>Baja</v>
      </c>
      <c r="I16" s="230">
        <f>IF(H16="","",IF(H16="Muy Baja",0.2,IF(H16="Baja",0.4,IF(H16="Media",0.6,IF(H16="Alta",0.8,IF(H16="Muy Alta",1,))))))</f>
        <v>0.4</v>
      </c>
      <c r="J16" s="255" t="s">
        <v>153</v>
      </c>
      <c r="K16" s="245" t="str">
        <f>IF(NOT(ISERROR(MATCH(J16,'Tabla Impacto'!$B$221:$B$223,0))),'Tabla Impacto'!$F$223&amp;"Por favor no seleccionar los criterios de impacto(Afectación Económica o presupuestal y Pérdida Reputacional)",J16)</f>
        <v xml:space="preserve">     El riesgo afecta la imagen de de la entidad con efecto publicitario sostenido a nivel de sector administrativo, nivel departamental o municipal</v>
      </c>
      <c r="L16" s="227" t="str">
        <f>IF(OR(K16='Tabla Impacto'!$C$11,K16='Tabla Impacto'!$D$11),"Leve",IF(OR(K16='Tabla Impacto'!$C$12,K16='Tabla Impacto'!$D$12),"Menor",IF(OR(K16='Tabla Impacto'!$C$13,K16='Tabla Impacto'!$D$13),"Moderado",IF(OR(K16='Tabla Impacto'!$C$14,K16='Tabla Impacto'!$D$14),"Mayor",IF(OR(K16='Tabla Impacto'!$C$15,K16='Tabla Impacto'!$D$15),"Catastrófico","")))))</f>
        <v>Mayor</v>
      </c>
      <c r="M16" s="230">
        <f>IF(L16="","",IF(L16="Leve",0.2,IF(L16="Menor",0.4,IF(L16="Moderado",0.6,IF(L16="Mayor",0.8,IF(L16="Catastrófico",1,))))))</f>
        <v>0.8</v>
      </c>
      <c r="N16" s="239"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6">
        <v>1</v>
      </c>
      <c r="P16" s="164" t="s">
        <v>236</v>
      </c>
      <c r="Q16" s="138" t="str">
        <f>IF(OR(R16="Preventivo",R16="Detectivo"),"Probabilidad",IF(R16="Correctivo","Impacto",""))</f>
        <v>Probabilidad</v>
      </c>
      <c r="R16" s="139" t="s">
        <v>14</v>
      </c>
      <c r="S16" s="139" t="s">
        <v>9</v>
      </c>
      <c r="T16" s="140" t="str">
        <f>IF(AND(R16="Preventivo",S16="Automático"),"50%",IF(AND(R16="Preventivo",S16="Manual"),"40%",IF(AND(R16="Detectivo",S16="Automático"),"40%",IF(AND(R16="Detectivo",S16="Manual"),"30%",IF(AND(R16="Correctivo",S16="Automático"),"35%",IF(AND(R16="Correctivo",S16="Manual"),"25%",""))))))</f>
        <v>40%</v>
      </c>
      <c r="U16" s="139" t="s">
        <v>19</v>
      </c>
      <c r="V16" s="139" t="s">
        <v>22</v>
      </c>
      <c r="W16" s="139" t="s">
        <v>118</v>
      </c>
      <c r="X16" s="141">
        <f>IFERROR(IF(Q16="Probabilidad",(I16-(+I16*T16)),IF(Q16="Impacto",I16,"")),"")</f>
        <v>0.24</v>
      </c>
      <c r="Y16" s="142" t="str">
        <f>IFERROR(IF(X16="","",IF(X16&lt;=0.2,"Muy Baja",IF(X16&lt;=0.4,"Baja",IF(X16&lt;=0.6,"Media",IF(X16&lt;=0.8,"Alta","Muy Alta"))))),"")</f>
        <v>Baja</v>
      </c>
      <c r="Z16" s="143">
        <f>+X16</f>
        <v>0.24</v>
      </c>
      <c r="AA16" s="142" t="str">
        <f>IFERROR(IF(AB16="","",IF(AB16&lt;=0.2,"Leve",IF(AB16&lt;=0.4,"Menor",IF(AB16&lt;=0.6,"Moderado",IF(AB16&lt;=0.8,"Mayor","Catastrófico"))))),"")</f>
        <v>Mayor</v>
      </c>
      <c r="AB16" s="143">
        <f>IFERROR(IF(Q16="Impacto",(M16-(+M16*T16)),IF(Q16="Probabilidad",M16,"")),"")</f>
        <v>0.8</v>
      </c>
      <c r="AC16" s="144"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131" t="s">
        <v>134</v>
      </c>
      <c r="AE16" s="183" t="s">
        <v>251</v>
      </c>
      <c r="AF16" s="146" t="s">
        <v>213</v>
      </c>
      <c r="AG16" s="183" t="s">
        <v>216</v>
      </c>
      <c r="AH16" s="147">
        <v>44927</v>
      </c>
      <c r="AI16" s="152" t="s">
        <v>237</v>
      </c>
      <c r="AJ16" s="183" t="s">
        <v>271</v>
      </c>
      <c r="AK16" s="148" t="s">
        <v>40</v>
      </c>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69" ht="163.19999999999999" hidden="1" customHeight="1" x14ac:dyDescent="0.25">
      <c r="A17" s="263"/>
      <c r="B17" s="250"/>
      <c r="C17" s="250"/>
      <c r="D17" s="250"/>
      <c r="E17" s="266"/>
      <c r="F17" s="250"/>
      <c r="G17" s="253"/>
      <c r="H17" s="228"/>
      <c r="I17" s="231"/>
      <c r="J17" s="256"/>
      <c r="K17" s="246">
        <f>IF(NOT(ISERROR(MATCH(J17,_xlfn.ANCHORARRAY(E28),0))),I30&amp;"Por favor no seleccionar los criterios de impacto",J17)</f>
        <v>0</v>
      </c>
      <c r="L17" s="228"/>
      <c r="M17" s="231"/>
      <c r="N17" s="240"/>
      <c r="O17" s="6">
        <v>2</v>
      </c>
      <c r="P17" s="165"/>
      <c r="Q17" s="138"/>
      <c r="R17" s="139"/>
      <c r="S17" s="139"/>
      <c r="T17" s="140"/>
      <c r="U17" s="139"/>
      <c r="V17" s="139"/>
      <c r="W17" s="139"/>
      <c r="X17" s="141"/>
      <c r="Y17" s="142"/>
      <c r="Z17" s="143"/>
      <c r="AA17" s="142"/>
      <c r="AB17" s="143"/>
      <c r="AC17" s="144"/>
      <c r="AD17" s="145"/>
      <c r="AE17" s="146"/>
      <c r="AF17" s="146"/>
      <c r="AG17" s="146"/>
      <c r="AH17" s="147"/>
      <c r="AI17" s="147"/>
      <c r="AJ17" s="132"/>
      <c r="AK17" s="133"/>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69" ht="151.5" hidden="1" customHeight="1" x14ac:dyDescent="0.25">
      <c r="A18" s="263"/>
      <c r="B18" s="250"/>
      <c r="C18" s="250"/>
      <c r="D18" s="250"/>
      <c r="E18" s="266"/>
      <c r="F18" s="250"/>
      <c r="G18" s="253"/>
      <c r="H18" s="228"/>
      <c r="I18" s="231"/>
      <c r="J18" s="256"/>
      <c r="K18" s="246">
        <f>IF(NOT(ISERROR(MATCH(J18,_xlfn.ANCHORARRAY(E29),0))),I31&amp;"Por favor no seleccionar los criterios de impacto",J18)</f>
        <v>0</v>
      </c>
      <c r="L18" s="228"/>
      <c r="M18" s="231"/>
      <c r="N18" s="240"/>
      <c r="O18" s="6">
        <v>3</v>
      </c>
      <c r="P18" s="165"/>
      <c r="Q18" s="138"/>
      <c r="R18" s="139"/>
      <c r="S18" s="139"/>
      <c r="T18" s="140"/>
      <c r="U18" s="139"/>
      <c r="V18" s="139"/>
      <c r="W18" s="139"/>
      <c r="X18" s="141"/>
      <c r="Y18" s="142"/>
      <c r="Z18" s="143"/>
      <c r="AA18" s="142"/>
      <c r="AB18" s="143"/>
      <c r="AC18" s="144"/>
      <c r="AD18" s="145"/>
      <c r="AE18" s="146"/>
      <c r="AF18" s="146"/>
      <c r="AG18" s="146"/>
      <c r="AH18" s="147"/>
      <c r="AI18" s="147"/>
      <c r="AJ18" s="132"/>
      <c r="AK18" s="133"/>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1:69" ht="151.5" hidden="1" customHeight="1" x14ac:dyDescent="0.25">
      <c r="A19" s="263"/>
      <c r="B19" s="250"/>
      <c r="C19" s="250"/>
      <c r="D19" s="250"/>
      <c r="E19" s="266"/>
      <c r="F19" s="250"/>
      <c r="G19" s="253"/>
      <c r="H19" s="228"/>
      <c r="I19" s="231"/>
      <c r="J19" s="256"/>
      <c r="K19" s="246">
        <f>IF(NOT(ISERROR(MATCH(J19,_xlfn.ANCHORARRAY(E30),0))),I32&amp;"Por favor no seleccionar los criterios de impacto",J19)</f>
        <v>0</v>
      </c>
      <c r="L19" s="228"/>
      <c r="M19" s="231"/>
      <c r="N19" s="240"/>
      <c r="O19" s="6">
        <v>4</v>
      </c>
      <c r="P19" s="165"/>
      <c r="Q19" s="138" t="str">
        <f t="shared" ref="Q19:Q21" si="8">IF(OR(R19="Preventivo",R19="Detectivo"),"Probabilidad",IF(R19="Correctivo","Impacto",""))</f>
        <v/>
      </c>
      <c r="R19" s="125"/>
      <c r="S19" s="125"/>
      <c r="T19" s="126" t="str">
        <f t="shared" ref="T19:T21" si="9">IF(AND(R19="Preventivo",S19="Automático"),"50%",IF(AND(R19="Preventivo",S19="Manual"),"40%",IF(AND(R19="Detectivo",S19="Automático"),"40%",IF(AND(R19="Detectivo",S19="Manual"),"30%",IF(AND(R19="Correctivo",S19="Automático"),"35%",IF(AND(R19="Correctivo",S19="Manual"),"25%",""))))))</f>
        <v/>
      </c>
      <c r="U19" s="125"/>
      <c r="V19" s="125"/>
      <c r="W19" s="125"/>
      <c r="X19" s="127" t="str">
        <f t="shared" ref="X19:X21" si="10">IFERROR(IF(AND(Q18="Probabilidad",Q19="Probabilidad"),(Z18-(+Z18*T19)),IF(AND(Q18="Impacto",Q19="Probabilidad"),(Z17-(+Z17*T19)),IF(Q19="Impacto",Z18,""))),"")</f>
        <v/>
      </c>
      <c r="Y19" s="128" t="str">
        <f t="shared" si="1"/>
        <v/>
      </c>
      <c r="Z19" s="129" t="str">
        <f t="shared" ref="Z19:Z21" si="11">+X19</f>
        <v/>
      </c>
      <c r="AA19" s="128" t="str">
        <f t="shared" si="3"/>
        <v/>
      </c>
      <c r="AB19" s="129" t="str">
        <f t="shared" ref="AB19:AB21" si="12">IFERROR(IF(AND(Q18="Impacto",Q19="Impacto"),(AB18-(+AB18*T19)),IF(AND(Q18="Probabilidad",Q19="Impacto"),(AB17-(+AB17*T19)),IF(Q19="Probabilidad",AB18,""))),"")</f>
        <v/>
      </c>
      <c r="AC19" s="130"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1"/>
      <c r="AE19" s="132"/>
      <c r="AF19" s="146" t="s">
        <v>213</v>
      </c>
      <c r="AG19" s="132" t="s">
        <v>211</v>
      </c>
      <c r="AH19" s="134"/>
      <c r="AI19" s="134"/>
      <c r="AJ19" s="132"/>
      <c r="AK19" s="133"/>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1:69" ht="151.5" hidden="1" customHeight="1" x14ac:dyDescent="0.25">
      <c r="A20" s="263"/>
      <c r="B20" s="250"/>
      <c r="C20" s="250"/>
      <c r="D20" s="250"/>
      <c r="E20" s="266"/>
      <c r="F20" s="250"/>
      <c r="G20" s="253"/>
      <c r="H20" s="228"/>
      <c r="I20" s="231"/>
      <c r="J20" s="256"/>
      <c r="K20" s="246">
        <f>IF(NOT(ISERROR(MATCH(J20,_xlfn.ANCHORARRAY(E31),0))),I33&amp;"Por favor no seleccionar los criterios de impacto",J20)</f>
        <v>0</v>
      </c>
      <c r="L20" s="228"/>
      <c r="M20" s="231"/>
      <c r="N20" s="240"/>
      <c r="O20" s="6">
        <v>5</v>
      </c>
      <c r="P20" s="165"/>
      <c r="Q20" s="138" t="str">
        <f t="shared" si="8"/>
        <v/>
      </c>
      <c r="R20" s="125"/>
      <c r="S20" s="125"/>
      <c r="T20" s="126" t="str">
        <f t="shared" si="9"/>
        <v/>
      </c>
      <c r="U20" s="125"/>
      <c r="V20" s="125"/>
      <c r="W20" s="125"/>
      <c r="X20" s="127" t="str">
        <f t="shared" si="10"/>
        <v/>
      </c>
      <c r="Y20" s="128" t="str">
        <f t="shared" si="1"/>
        <v/>
      </c>
      <c r="Z20" s="129" t="str">
        <f t="shared" si="11"/>
        <v/>
      </c>
      <c r="AA20" s="128" t="str">
        <f t="shared" si="3"/>
        <v/>
      </c>
      <c r="AB20" s="129" t="str">
        <f t="shared" si="12"/>
        <v/>
      </c>
      <c r="AC20" s="130" t="str">
        <f t="shared" ref="AC20:AC21" si="13">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1"/>
      <c r="AE20" s="132"/>
      <c r="AF20" s="146" t="s">
        <v>213</v>
      </c>
      <c r="AG20" s="132" t="s">
        <v>211</v>
      </c>
      <c r="AH20" s="134"/>
      <c r="AI20" s="134"/>
      <c r="AJ20" s="132"/>
      <c r="AK20" s="133"/>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1:69" ht="13.95" hidden="1" customHeight="1" x14ac:dyDescent="0.25">
      <c r="A21" s="264"/>
      <c r="B21" s="251"/>
      <c r="C21" s="251"/>
      <c r="D21" s="251"/>
      <c r="E21" s="267"/>
      <c r="F21" s="251"/>
      <c r="G21" s="254"/>
      <c r="H21" s="229"/>
      <c r="I21" s="232"/>
      <c r="J21" s="257"/>
      <c r="K21" s="247">
        <f>IF(NOT(ISERROR(MATCH(J21,_xlfn.ANCHORARRAY(E32),0))),I34&amp;"Por favor no seleccionar los criterios de impacto",J21)</f>
        <v>0</v>
      </c>
      <c r="L21" s="229"/>
      <c r="M21" s="232"/>
      <c r="N21" s="241"/>
      <c r="O21" s="6">
        <v>6</v>
      </c>
      <c r="P21" s="166"/>
      <c r="Q21" s="138" t="str">
        <f t="shared" si="8"/>
        <v/>
      </c>
      <c r="R21" s="125"/>
      <c r="S21" s="125"/>
      <c r="T21" s="126" t="str">
        <f t="shared" si="9"/>
        <v/>
      </c>
      <c r="U21" s="125"/>
      <c r="V21" s="125"/>
      <c r="W21" s="125"/>
      <c r="X21" s="127" t="str">
        <f t="shared" si="10"/>
        <v/>
      </c>
      <c r="Y21" s="128" t="str">
        <f t="shared" si="1"/>
        <v/>
      </c>
      <c r="Z21" s="129" t="str">
        <f t="shared" si="11"/>
        <v/>
      </c>
      <c r="AA21" s="128" t="str">
        <f t="shared" si="3"/>
        <v/>
      </c>
      <c r="AB21" s="129" t="str">
        <f t="shared" si="12"/>
        <v/>
      </c>
      <c r="AC21" s="130" t="str">
        <f t="shared" si="13"/>
        <v/>
      </c>
      <c r="AD21" s="131"/>
      <c r="AE21" s="132"/>
      <c r="AF21" s="146" t="s">
        <v>213</v>
      </c>
      <c r="AG21" s="132" t="s">
        <v>211</v>
      </c>
      <c r="AH21" s="134"/>
      <c r="AI21" s="134"/>
      <c r="AJ21" s="132"/>
      <c r="AK21" s="133"/>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row>
    <row r="22" spans="1:69" ht="88.5" customHeight="1" x14ac:dyDescent="0.25">
      <c r="A22" s="262">
        <v>3</v>
      </c>
      <c r="B22" s="249" t="s">
        <v>132</v>
      </c>
      <c r="C22" s="249" t="s">
        <v>248</v>
      </c>
      <c r="D22" s="249" t="s">
        <v>249</v>
      </c>
      <c r="E22" s="265" t="s">
        <v>264</v>
      </c>
      <c r="F22" s="249" t="s">
        <v>122</v>
      </c>
      <c r="G22" s="252">
        <v>12</v>
      </c>
      <c r="H22" s="227" t="str">
        <f>IF(G22&lt;=0,"",IF(G22&lt;=2,"Muy Baja",IF(G22&lt;=24,"Baja",IF(G22&lt;=500,"Media",IF(G22&lt;=5000,"Alta","Muy Alta")))))</f>
        <v>Baja</v>
      </c>
      <c r="I22" s="230">
        <f>IF(H22="","",IF(H22="Muy Baja",0.2,IF(H22="Baja",0.4,IF(H22="Media",0.6,IF(H22="Alta",0.8,IF(H22="Muy Alta",1,))))))</f>
        <v>0.4</v>
      </c>
      <c r="J22" s="255" t="s">
        <v>152</v>
      </c>
      <c r="K22" s="230" t="str">
        <f>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227" t="str">
        <f>IF(OR(K22='Tabla Impacto'!$C$11,K22='Tabla Impacto'!$D$11),"Leve",IF(OR(K22='Tabla Impacto'!$C$12,K22='Tabla Impacto'!$D$12),"Menor",IF(OR(K22='Tabla Impacto'!$C$13,K22='Tabla Impacto'!$D$13),"Moderado",IF(OR(K22='Tabla Impacto'!$C$14,K22='Tabla Impacto'!$D$14),"Mayor",IF(OR(K22='Tabla Impacto'!$C$15,K22='Tabla Impacto'!$D$15),"Catastrófico","")))))</f>
        <v>Moderado</v>
      </c>
      <c r="M22" s="230">
        <f>IF(L22="","",IF(L22="Leve",0.2,IF(L22="Menor",0.4,IF(L22="Moderado",0.6,IF(L22="Mayor",0.8,IF(L22="Catastrófico",1,))))))</f>
        <v>0.6</v>
      </c>
      <c r="N22" s="239"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6">
        <v>1</v>
      </c>
      <c r="P22" s="162" t="s">
        <v>250</v>
      </c>
      <c r="Q22" s="138" t="str">
        <f>IF(OR(R22="Preventivo",R22="Detectivo"),"Probabilidad",IF(R22="Correctivo","Impacto",""))</f>
        <v>Probabilidad</v>
      </c>
      <c r="R22" s="139" t="s">
        <v>15</v>
      </c>
      <c r="S22" s="139" t="s">
        <v>9</v>
      </c>
      <c r="T22" s="140" t="str">
        <f>IF(AND(R22="Preventivo",S22="Automático"),"50%",IF(AND(R22="Preventivo",S22="Manual"),"40%",IF(AND(R22="Detectivo",S22="Automático"),"40%",IF(AND(R22="Detectivo",S22="Manual"),"30%",IF(AND(R22="Correctivo",S22="Automático"),"35%",IF(AND(R22="Correctivo",S22="Manual"),"25%",""))))))</f>
        <v>30%</v>
      </c>
      <c r="U22" s="139" t="s">
        <v>19</v>
      </c>
      <c r="V22" s="139" t="s">
        <v>22</v>
      </c>
      <c r="W22" s="139" t="s">
        <v>118</v>
      </c>
      <c r="X22" s="141">
        <f>IFERROR(IF(Q22="Probabilidad",(I22-(+I22*T22)),IF(Q22="Impacto",I22,"")),"")</f>
        <v>0.28000000000000003</v>
      </c>
      <c r="Y22" s="142" t="str">
        <f>IFERROR(IF(X22="","",IF(X22&lt;=0.2,"Muy Baja",IF(X22&lt;=0.4,"Baja",IF(X22&lt;=0.6,"Media",IF(X22&lt;=0.8,"Alta","Muy Alta"))))),"")</f>
        <v>Baja</v>
      </c>
      <c r="Z22" s="143">
        <f>+X22</f>
        <v>0.28000000000000003</v>
      </c>
      <c r="AA22" s="142" t="str">
        <f>IFERROR(IF(AB22="","",IF(AB22&lt;=0.2,"Leve",IF(AB22&lt;=0.4,"Menor",IF(AB22&lt;=0.6,"Moderado",IF(AB22&lt;=0.8,"Mayor","Catastrófico"))))),"")</f>
        <v>Moderado</v>
      </c>
      <c r="AB22" s="143">
        <f>IFERROR(IF(Q22="Impacto",(M22-(+M22*T22)),IF(Q22="Probabilidad",M22,"")),"")</f>
        <v>0.6</v>
      </c>
      <c r="AC22" s="144"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31" t="s">
        <v>32</v>
      </c>
      <c r="AE22" s="183" t="s">
        <v>252</v>
      </c>
      <c r="AF22" s="146" t="s">
        <v>213</v>
      </c>
      <c r="AG22" s="183" t="s">
        <v>216</v>
      </c>
      <c r="AH22" s="147">
        <v>44927</v>
      </c>
      <c r="AI22" s="147">
        <v>45291</v>
      </c>
      <c r="AJ22" s="183" t="s">
        <v>253</v>
      </c>
      <c r="AK22" s="148" t="s">
        <v>40</v>
      </c>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row>
    <row r="23" spans="1:69" ht="151.5" hidden="1" customHeight="1" x14ac:dyDescent="0.25">
      <c r="A23" s="263"/>
      <c r="B23" s="250"/>
      <c r="C23" s="250"/>
      <c r="D23" s="250"/>
      <c r="E23" s="266"/>
      <c r="F23" s="250"/>
      <c r="G23" s="253"/>
      <c r="H23" s="228"/>
      <c r="I23" s="231"/>
      <c r="J23" s="256"/>
      <c r="K23" s="231">
        <f>IF(NOT(ISERROR(MATCH(J23,_xlfn.ANCHORARRAY(E34),0))),#REF!&amp;"Por favor no seleccionar los criterios de impacto",J23)</f>
        <v>0</v>
      </c>
      <c r="L23" s="228"/>
      <c r="M23" s="231"/>
      <c r="N23" s="240"/>
      <c r="O23" s="6">
        <v>2</v>
      </c>
      <c r="P23" s="163"/>
      <c r="Q23" s="138"/>
      <c r="R23" s="139"/>
      <c r="S23" s="139"/>
      <c r="T23" s="140"/>
      <c r="U23" s="139"/>
      <c r="V23" s="139"/>
      <c r="W23" s="139"/>
      <c r="X23" s="151"/>
      <c r="Y23" s="142"/>
      <c r="Z23" s="143"/>
      <c r="AA23" s="142"/>
      <c r="AB23" s="143"/>
      <c r="AC23" s="144"/>
      <c r="AD23" s="145"/>
      <c r="AE23" s="146"/>
      <c r="AF23" s="146"/>
      <c r="AG23" s="183"/>
      <c r="AH23" s="147"/>
      <c r="AI23" s="147"/>
      <c r="AJ23" s="132"/>
      <c r="AK23" s="133"/>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69" ht="151.5" hidden="1" customHeight="1" x14ac:dyDescent="0.25">
      <c r="A24" s="263"/>
      <c r="B24" s="250"/>
      <c r="C24" s="250"/>
      <c r="D24" s="250"/>
      <c r="E24" s="266"/>
      <c r="F24" s="250"/>
      <c r="G24" s="253"/>
      <c r="H24" s="228"/>
      <c r="I24" s="231"/>
      <c r="J24" s="256"/>
      <c r="K24" s="231">
        <f>IF(NOT(ISERROR(MATCH(J24,_xlfn.ANCHORARRAY(#REF!),0))),#REF!&amp;"Por favor no seleccionar los criterios de impacto",J24)</f>
        <v>0</v>
      </c>
      <c r="L24" s="228"/>
      <c r="M24" s="231"/>
      <c r="N24" s="240"/>
      <c r="O24" s="6">
        <v>3</v>
      </c>
      <c r="P24" s="150"/>
      <c r="Q24" s="124" t="str">
        <f>IF(OR(R24="Preventivo",R24="Detectivo"),"Probabilidad",IF(R24="Correctivo","Impacto",""))</f>
        <v/>
      </c>
      <c r="R24" s="125"/>
      <c r="S24" s="125"/>
      <c r="T24" s="126" t="str">
        <f t="shared" ref="T24:T27" si="14">IF(AND(R24="Preventivo",S24="Automático"),"50%",IF(AND(R24="Preventivo",S24="Manual"),"40%",IF(AND(R24="Detectivo",S24="Automático"),"40%",IF(AND(R24="Detectivo",S24="Manual"),"30%",IF(AND(R24="Correctivo",S24="Automático"),"35%",IF(AND(R24="Correctivo",S24="Manual"),"25%",""))))))</f>
        <v/>
      </c>
      <c r="U24" s="125"/>
      <c r="V24" s="125"/>
      <c r="W24" s="125"/>
      <c r="X24" s="127" t="str">
        <f>IFERROR(IF(AND(Q23="Probabilidad",Q24="Probabilidad"),(Z23-(+Z23*T24)),IF(AND(Q23="Impacto",Q24="Probabilidad"),(Z22-(+Z22*T24)),IF(Q24="Impacto",Z23,""))),"")</f>
        <v/>
      </c>
      <c r="Y24" s="128" t="str">
        <f t="shared" si="1"/>
        <v/>
      </c>
      <c r="Z24" s="129" t="str">
        <f t="shared" ref="Z24:Z27" si="15">+X24</f>
        <v/>
      </c>
      <c r="AA24" s="128" t="str">
        <f t="shared" si="3"/>
        <v/>
      </c>
      <c r="AB24" s="129" t="str">
        <f>IFERROR(IF(AND(Q23="Impacto",Q24="Impacto"),(AB23-(+AB23*T24)),IF(AND(Q23="Probabilidad",Q24="Impacto"),(AB22-(+AB22*T24)),IF(Q24="Probabilidad",AB23,""))),"")</f>
        <v/>
      </c>
      <c r="AC24" s="130" t="str">
        <f t="shared" ref="AC24" si="16">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31"/>
      <c r="AE24" s="132"/>
      <c r="AF24" s="146" t="s">
        <v>213</v>
      </c>
      <c r="AG24" s="183" t="s">
        <v>211</v>
      </c>
      <c r="AH24" s="134">
        <v>44927</v>
      </c>
      <c r="AI24" s="134"/>
      <c r="AJ24" s="132"/>
      <c r="AK24" s="133"/>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151.5" hidden="1" customHeight="1" x14ac:dyDescent="0.25">
      <c r="A25" s="263"/>
      <c r="B25" s="250"/>
      <c r="C25" s="250"/>
      <c r="D25" s="250"/>
      <c r="E25" s="266"/>
      <c r="F25" s="250"/>
      <c r="G25" s="253"/>
      <c r="H25" s="228"/>
      <c r="I25" s="231"/>
      <c r="J25" s="256"/>
      <c r="K25" s="231">
        <f>IF(NOT(ISERROR(MATCH(J25,_xlfn.ANCHORARRAY(#REF!),0))),I35&amp;"Por favor no seleccionar los criterios de impacto",J25)</f>
        <v>0</v>
      </c>
      <c r="L25" s="228"/>
      <c r="M25" s="231"/>
      <c r="N25" s="240"/>
      <c r="O25" s="6">
        <v>4</v>
      </c>
      <c r="P25" s="137"/>
      <c r="Q25" s="124" t="str">
        <f t="shared" ref="Q25:Q27" si="17">IF(OR(R25="Preventivo",R25="Detectivo"),"Probabilidad",IF(R25="Correctivo","Impacto",""))</f>
        <v/>
      </c>
      <c r="R25" s="125"/>
      <c r="S25" s="125"/>
      <c r="T25" s="126" t="str">
        <f t="shared" si="14"/>
        <v/>
      </c>
      <c r="U25" s="125"/>
      <c r="V25" s="125"/>
      <c r="W25" s="125"/>
      <c r="X25" s="127" t="str">
        <f t="shared" ref="X25:X27" si="18">IFERROR(IF(AND(Q24="Probabilidad",Q25="Probabilidad"),(Z24-(+Z24*T25)),IF(AND(Q24="Impacto",Q25="Probabilidad"),(Z23-(+Z23*T25)),IF(Q25="Impacto",Z24,""))),"")</f>
        <v/>
      </c>
      <c r="Y25" s="128" t="str">
        <f t="shared" si="1"/>
        <v/>
      </c>
      <c r="Z25" s="129" t="str">
        <f t="shared" si="15"/>
        <v/>
      </c>
      <c r="AA25" s="128" t="str">
        <f t="shared" si="3"/>
        <v/>
      </c>
      <c r="AB25" s="129" t="str">
        <f t="shared" ref="AB25:AB27" si="19">IFERROR(IF(AND(Q24="Impacto",Q25="Impacto"),(AB24-(+AB24*T25)),IF(AND(Q24="Probabilidad",Q25="Impacto"),(AB23-(+AB23*T25)),IF(Q25="Probabilidad",AB24,""))),"")</f>
        <v/>
      </c>
      <c r="AC25" s="130"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1"/>
      <c r="AE25" s="132"/>
      <c r="AF25" s="146" t="s">
        <v>213</v>
      </c>
      <c r="AG25" s="183" t="s">
        <v>211</v>
      </c>
      <c r="AH25" s="134">
        <v>44927</v>
      </c>
      <c r="AI25" s="134"/>
      <c r="AJ25" s="132"/>
      <c r="AK25" s="133"/>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69" ht="151.5" hidden="1" customHeight="1" x14ac:dyDescent="0.25">
      <c r="A26" s="263"/>
      <c r="B26" s="250"/>
      <c r="C26" s="250"/>
      <c r="D26" s="250"/>
      <c r="E26" s="266"/>
      <c r="F26" s="250"/>
      <c r="G26" s="253"/>
      <c r="H26" s="228"/>
      <c r="I26" s="231"/>
      <c r="J26" s="256"/>
      <c r="K26" s="231">
        <f>IF(NOT(ISERROR(MATCH(J26,_xlfn.ANCHORARRAY(#REF!),0))),I36&amp;"Por favor no seleccionar los criterios de impacto",J26)</f>
        <v>0</v>
      </c>
      <c r="L26" s="228"/>
      <c r="M26" s="231"/>
      <c r="N26" s="240"/>
      <c r="O26" s="6">
        <v>5</v>
      </c>
      <c r="P26" s="137"/>
      <c r="Q26" s="124" t="str">
        <f t="shared" si="17"/>
        <v/>
      </c>
      <c r="R26" s="125"/>
      <c r="S26" s="125"/>
      <c r="T26" s="126" t="str">
        <f t="shared" si="14"/>
        <v/>
      </c>
      <c r="U26" s="125"/>
      <c r="V26" s="125"/>
      <c r="W26" s="125"/>
      <c r="X26" s="127" t="str">
        <f t="shared" si="18"/>
        <v/>
      </c>
      <c r="Y26" s="128" t="str">
        <f t="shared" si="1"/>
        <v/>
      </c>
      <c r="Z26" s="129" t="str">
        <f t="shared" si="15"/>
        <v/>
      </c>
      <c r="AA26" s="128" t="str">
        <f t="shared" si="3"/>
        <v/>
      </c>
      <c r="AB26" s="129" t="str">
        <f t="shared" si="19"/>
        <v/>
      </c>
      <c r="AC26" s="130" t="str">
        <f t="shared" ref="AC26:AC27" si="20">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1"/>
      <c r="AE26" s="132"/>
      <c r="AF26" s="146" t="s">
        <v>213</v>
      </c>
      <c r="AG26" s="183" t="s">
        <v>211</v>
      </c>
      <c r="AH26" s="134">
        <v>44927</v>
      </c>
      <c r="AI26" s="134"/>
      <c r="AJ26" s="132"/>
      <c r="AK26" s="133"/>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69" ht="151.5" hidden="1" customHeight="1" x14ac:dyDescent="0.25">
      <c r="A27" s="264"/>
      <c r="B27" s="251"/>
      <c r="C27" s="251"/>
      <c r="D27" s="251"/>
      <c r="E27" s="267"/>
      <c r="F27" s="251"/>
      <c r="G27" s="254"/>
      <c r="H27" s="229"/>
      <c r="I27" s="232"/>
      <c r="J27" s="257"/>
      <c r="K27" s="232">
        <f>IF(NOT(ISERROR(MATCH(J27,_xlfn.ANCHORARRAY(E35),0))),I37&amp;"Por favor no seleccionar los criterios de impacto",J27)</f>
        <v>0</v>
      </c>
      <c r="L27" s="229"/>
      <c r="M27" s="232"/>
      <c r="N27" s="241"/>
      <c r="O27" s="6">
        <v>6</v>
      </c>
      <c r="P27" s="137"/>
      <c r="Q27" s="124" t="str">
        <f t="shared" si="17"/>
        <v/>
      </c>
      <c r="R27" s="125"/>
      <c r="S27" s="125"/>
      <c r="T27" s="126" t="str">
        <f t="shared" si="14"/>
        <v/>
      </c>
      <c r="U27" s="125"/>
      <c r="V27" s="125"/>
      <c r="W27" s="125"/>
      <c r="X27" s="127" t="str">
        <f t="shared" si="18"/>
        <v/>
      </c>
      <c r="Y27" s="128" t="str">
        <f t="shared" si="1"/>
        <v/>
      </c>
      <c r="Z27" s="129" t="str">
        <f t="shared" si="15"/>
        <v/>
      </c>
      <c r="AA27" s="128" t="str">
        <f t="shared" si="3"/>
        <v/>
      </c>
      <c r="AB27" s="129" t="str">
        <f t="shared" si="19"/>
        <v/>
      </c>
      <c r="AC27" s="130" t="str">
        <f t="shared" si="20"/>
        <v/>
      </c>
      <c r="AD27" s="131"/>
      <c r="AE27" s="132"/>
      <c r="AF27" s="146" t="s">
        <v>213</v>
      </c>
      <c r="AG27" s="183" t="s">
        <v>211</v>
      </c>
      <c r="AH27" s="134">
        <v>44927</v>
      </c>
      <c r="AI27" s="134"/>
      <c r="AJ27" s="132"/>
      <c r="AK27" s="133"/>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1:69" ht="76.5" customHeight="1" x14ac:dyDescent="0.25">
      <c r="A28" s="262">
        <v>4</v>
      </c>
      <c r="B28" s="249" t="s">
        <v>132</v>
      </c>
      <c r="C28" s="249" t="s">
        <v>224</v>
      </c>
      <c r="D28" s="249" t="s">
        <v>266</v>
      </c>
      <c r="E28" s="265" t="s">
        <v>263</v>
      </c>
      <c r="F28" s="249" t="s">
        <v>122</v>
      </c>
      <c r="G28" s="252">
        <v>6000</v>
      </c>
      <c r="H28" s="270" t="str">
        <f>IF(G28&lt;=0,"",IF(G28&lt;=2,"Muy Baja",IF(G28&lt;=24,"Baja",IF(G28&lt;=500,"Media",IF(G28&lt;=5000,"Alta","Muy Alta")))))</f>
        <v>Muy Alta</v>
      </c>
      <c r="I28" s="230">
        <f>IF(H28="","",IF(H28="Muy Baja",0.2,IF(H28="Baja",0.4,IF(H28="Media",0.6,IF(H28="Alta",0.8,IF(H28="Muy Alta",1,))))))</f>
        <v>1</v>
      </c>
      <c r="J28" s="255" t="s">
        <v>151</v>
      </c>
      <c r="K28" s="230" t="str">
        <f>IF(NOT(ISERROR(MATCH(J28,'Tabla Impacto'!$B$221:$B$223,0))),'Tabla Impacto'!$F$223&amp;"Por favor no seleccionar los criterios de impacto(Afectación Económica o presupuestal y Pérdida Reputacional)",J28)</f>
        <v xml:space="preserve">     El riesgo afecta la imagen de la entidad internamente, de conocimiento general, nivel interno, de junta dircetiva y accionistas y/o de provedores</v>
      </c>
      <c r="L28" s="227" t="str">
        <f>IF(OR(K28='Tabla Impacto'!$C$11,K28='Tabla Impacto'!$D$11),"Leve",IF(OR(K28='Tabla Impacto'!$C$12,K28='Tabla Impacto'!$D$12),"Menor",IF(OR(K28='Tabla Impacto'!$C$13,K28='Tabla Impacto'!$D$13),"Moderado",IF(OR(K28='Tabla Impacto'!$C$14,K28='Tabla Impacto'!$D$14),"Mayor",IF(OR(K28='Tabla Impacto'!$C$15,K28='Tabla Impacto'!$D$15),"Catastrófico","")))))</f>
        <v>Menor</v>
      </c>
      <c r="M28" s="230">
        <f>IF(L28="","",IF(L28="Leve",0.2,IF(L28="Menor",0.4,IF(L28="Moderado",0.6,IF(L28="Mayor",0.8,IF(L28="Catastrófico",1,))))))</f>
        <v>0.4</v>
      </c>
      <c r="N28" s="239"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Alto</v>
      </c>
      <c r="O28" s="6">
        <v>1</v>
      </c>
      <c r="P28" s="186" t="s">
        <v>225</v>
      </c>
      <c r="Q28" s="138" t="str">
        <f>IF(OR(R28="Preventivo",R28="Detectivo"),"Probabilidad",IF(R28="Correctivo","Impacto",""))</f>
        <v>Impacto</v>
      </c>
      <c r="R28" s="139" t="s">
        <v>16</v>
      </c>
      <c r="S28" s="139" t="s">
        <v>9</v>
      </c>
      <c r="T28" s="140" t="str">
        <f>IF(AND(R28="Preventivo",S28="Automático"),"50%",IF(AND(R28="Preventivo",S28="Manual"),"40%",IF(AND(R28="Detectivo",S28="Automático"),"40%",IF(AND(R28="Detectivo",S28="Manual"),"30%",IF(AND(R28="Correctivo",S28="Automático"),"35%",IF(AND(R28="Correctivo",S28="Manual"),"25%",""))))))</f>
        <v>25%</v>
      </c>
      <c r="U28" s="139" t="s">
        <v>19</v>
      </c>
      <c r="V28" s="139" t="s">
        <v>22</v>
      </c>
      <c r="W28" s="139" t="s">
        <v>118</v>
      </c>
      <c r="X28" s="141">
        <f>IFERROR(IF(Q28="Probabilidad",(I28-(+I28*T28)),IF(Q28="Impacto",I28,"")),"")</f>
        <v>1</v>
      </c>
      <c r="Y28" s="142" t="str">
        <f>IFERROR(IF(X28="","",IF(X28&lt;=0.2,"Muy Baja",IF(X28&lt;=0.4,"Baja",IF(X28&lt;=0.6,"Media",IF(X28&lt;=0.8,"Alta","Muy Alta"))))),"")</f>
        <v>Muy Alta</v>
      </c>
      <c r="Z28" s="143">
        <f>+X28</f>
        <v>1</v>
      </c>
      <c r="AA28" s="142" t="str">
        <f>IFERROR(IF(AB28="","",IF(AB28&lt;=0.2,"Leve",IF(AB28&lt;=0.4,"Menor",IF(AB28&lt;=0.6,"Moderado",IF(AB28&lt;=0.8,"Mayor","Catastrófico"))))),"")</f>
        <v>Menor</v>
      </c>
      <c r="AB28" s="143">
        <f>IFERROR(IF(Q28="Impacto",(M28-(+M28*T28)),IF(Q28="Probabilidad",M28,"")),"")</f>
        <v>0.30000000000000004</v>
      </c>
      <c r="AC28" s="144"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Alto</v>
      </c>
      <c r="AD28" s="145" t="s">
        <v>32</v>
      </c>
      <c r="AE28" s="183" t="s">
        <v>267</v>
      </c>
      <c r="AF28" s="146" t="s">
        <v>213</v>
      </c>
      <c r="AG28" s="183" t="s">
        <v>218</v>
      </c>
      <c r="AH28" s="147">
        <v>44927</v>
      </c>
      <c r="AI28" s="147">
        <v>45291</v>
      </c>
      <c r="AJ28" s="183" t="s">
        <v>268</v>
      </c>
      <c r="AK28" s="148" t="s">
        <v>40</v>
      </c>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69" ht="147" hidden="1" customHeight="1" x14ac:dyDescent="0.25">
      <c r="A29" s="263"/>
      <c r="B29" s="250"/>
      <c r="C29" s="250"/>
      <c r="D29" s="250"/>
      <c r="E29" s="268"/>
      <c r="F29" s="250"/>
      <c r="G29" s="253"/>
      <c r="H29" s="271"/>
      <c r="I29" s="231"/>
      <c r="J29" s="256"/>
      <c r="K29" s="231">
        <f>IF(NOT(ISERROR(MATCH(J29,_xlfn.ANCHORARRAY(E37),0))),I39&amp;"Por favor no seleccionar los criterios de impacto",J29)</f>
        <v>0</v>
      </c>
      <c r="L29" s="228"/>
      <c r="M29" s="231"/>
      <c r="N29" s="240"/>
      <c r="O29" s="6">
        <v>2</v>
      </c>
      <c r="P29" s="149"/>
      <c r="Q29" s="138"/>
      <c r="R29" s="139"/>
      <c r="S29" s="139"/>
      <c r="T29" s="140"/>
      <c r="U29" s="139"/>
      <c r="V29" s="139"/>
      <c r="W29" s="139"/>
      <c r="X29" s="141"/>
      <c r="Y29" s="142"/>
      <c r="Z29" s="143"/>
      <c r="AA29" s="142"/>
      <c r="AB29" s="143"/>
      <c r="AC29" s="144"/>
      <c r="AD29" s="145"/>
      <c r="AE29" s="183"/>
      <c r="AF29" s="146"/>
      <c r="AG29" s="183"/>
      <c r="AH29" s="147"/>
      <c r="AI29" s="152"/>
      <c r="AJ29" s="183"/>
      <c r="AK29" s="133"/>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1:69" ht="151.5" hidden="1" customHeight="1" x14ac:dyDescent="0.25">
      <c r="A30" s="263"/>
      <c r="B30" s="250"/>
      <c r="C30" s="250"/>
      <c r="D30" s="250"/>
      <c r="E30" s="268"/>
      <c r="F30" s="250"/>
      <c r="G30" s="253"/>
      <c r="H30" s="271"/>
      <c r="I30" s="231"/>
      <c r="J30" s="256"/>
      <c r="K30" s="231">
        <f>IF(NOT(ISERROR(MATCH(J30,_xlfn.ANCHORARRAY(E38),0))),I40&amp;"Por favor no seleccionar los criterios de impacto",J30)</f>
        <v>0</v>
      </c>
      <c r="L30" s="228"/>
      <c r="M30" s="231"/>
      <c r="N30" s="240"/>
      <c r="O30" s="6">
        <v>3</v>
      </c>
      <c r="P30" s="148"/>
      <c r="Q30" s="138"/>
      <c r="R30" s="139"/>
      <c r="S30" s="139"/>
      <c r="T30" s="140"/>
      <c r="U30" s="139"/>
      <c r="V30" s="139"/>
      <c r="W30" s="139"/>
      <c r="X30" s="141"/>
      <c r="Y30" s="142"/>
      <c r="Z30" s="143"/>
      <c r="AA30" s="142"/>
      <c r="AB30" s="143"/>
      <c r="AC30" s="144"/>
      <c r="AD30" s="145"/>
      <c r="AE30" s="183"/>
      <c r="AF30" s="146"/>
      <c r="AG30" s="183"/>
      <c r="AH30" s="147"/>
      <c r="AI30" s="152"/>
      <c r="AJ30" s="183"/>
      <c r="AK30" s="133"/>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151.5" hidden="1" customHeight="1" x14ac:dyDescent="0.25">
      <c r="A31" s="263"/>
      <c r="B31" s="250"/>
      <c r="C31" s="250"/>
      <c r="D31" s="250"/>
      <c r="E31" s="268"/>
      <c r="F31" s="250"/>
      <c r="G31" s="253"/>
      <c r="H31" s="271"/>
      <c r="I31" s="231"/>
      <c r="J31" s="256"/>
      <c r="K31" s="231">
        <f>IF(NOT(ISERROR(MATCH(J31,_xlfn.ANCHORARRAY(E39),0))),I41&amp;"Por favor no seleccionar los criterios de impacto",J31)</f>
        <v>0</v>
      </c>
      <c r="L31" s="228"/>
      <c r="M31" s="231"/>
      <c r="N31" s="240"/>
      <c r="O31" s="6">
        <v>4</v>
      </c>
      <c r="P31" s="123"/>
      <c r="Q31" s="124" t="str">
        <f t="shared" ref="Q31:Q33" si="21">IF(OR(R31="Preventivo",R31="Detectivo"),"Probabilidad",IF(R31="Correctivo","Impacto",""))</f>
        <v/>
      </c>
      <c r="R31" s="125"/>
      <c r="S31" s="125"/>
      <c r="T31" s="126" t="str">
        <f t="shared" ref="T31:T33" si="22">IF(AND(R31="Preventivo",S31="Automático"),"50%",IF(AND(R31="Preventivo",S31="Manual"),"40%",IF(AND(R31="Detectivo",S31="Automático"),"40%",IF(AND(R31="Detectivo",S31="Manual"),"30%",IF(AND(R31="Correctivo",S31="Automático"),"35%",IF(AND(R31="Correctivo",S31="Manual"),"25%",""))))))</f>
        <v/>
      </c>
      <c r="U31" s="125"/>
      <c r="V31" s="125"/>
      <c r="W31" s="125"/>
      <c r="X31" s="127" t="str">
        <f t="shared" ref="X31:X33" si="23">IFERROR(IF(AND(Q30="Probabilidad",Q31="Probabilidad"),(Z30-(+Z30*T31)),IF(AND(Q30="Impacto",Q31="Probabilidad"),(Z29-(+Z29*T31)),IF(Q31="Impacto",Z30,""))),"")</f>
        <v/>
      </c>
      <c r="Y31" s="128" t="str">
        <f t="shared" si="1"/>
        <v/>
      </c>
      <c r="Z31" s="129" t="str">
        <f t="shared" ref="Z31:Z33" si="24">+X31</f>
        <v/>
      </c>
      <c r="AA31" s="128" t="str">
        <f t="shared" si="3"/>
        <v/>
      </c>
      <c r="AB31" s="129" t="str">
        <f t="shared" ref="AB31:AB33" si="25">IFERROR(IF(AND(Q30="Impacto",Q31="Impacto"),(AB30-(+AB30*T31)),IF(AND(Q30="Probabilidad",Q31="Impacto"),(AB29-(+AB29*T31)),IF(Q31="Probabilidad",AB30,""))),"")</f>
        <v/>
      </c>
      <c r="AC31" s="130"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1"/>
      <c r="AE31" s="183"/>
      <c r="AF31" s="146" t="s">
        <v>213</v>
      </c>
      <c r="AG31" s="185"/>
      <c r="AH31" s="134"/>
      <c r="AI31" s="134"/>
      <c r="AJ31" s="183"/>
      <c r="AK31" s="133"/>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151.5" hidden="1" customHeight="1" x14ac:dyDescent="0.25">
      <c r="A32" s="263"/>
      <c r="B32" s="250"/>
      <c r="C32" s="250"/>
      <c r="D32" s="250"/>
      <c r="E32" s="268"/>
      <c r="F32" s="250"/>
      <c r="G32" s="253"/>
      <c r="H32" s="271"/>
      <c r="I32" s="231"/>
      <c r="J32" s="256"/>
      <c r="K32" s="231">
        <f>IF(NOT(ISERROR(MATCH(J32,_xlfn.ANCHORARRAY(E40),0))),I42&amp;"Por favor no seleccionar los criterios de impacto",J32)</f>
        <v>0</v>
      </c>
      <c r="L32" s="228"/>
      <c r="M32" s="231"/>
      <c r="N32" s="240"/>
      <c r="O32" s="6">
        <v>5</v>
      </c>
      <c r="P32" s="123"/>
      <c r="Q32" s="124" t="str">
        <f t="shared" si="21"/>
        <v/>
      </c>
      <c r="R32" s="125"/>
      <c r="S32" s="125"/>
      <c r="T32" s="126" t="str">
        <f t="shared" si="22"/>
        <v/>
      </c>
      <c r="U32" s="125"/>
      <c r="V32" s="125"/>
      <c r="W32" s="125"/>
      <c r="X32" s="136" t="str">
        <f t="shared" si="23"/>
        <v/>
      </c>
      <c r="Y32" s="128" t="str">
        <f>IFERROR(IF(X32="","",IF(X32&lt;=0.2,"Muy Baja",IF(X32&lt;=0.4,"Baja",IF(X32&lt;=0.6,"Media",IF(X32&lt;=0.8,"Alta","Muy Alta"))))),"")</f>
        <v/>
      </c>
      <c r="Z32" s="129" t="str">
        <f t="shared" si="24"/>
        <v/>
      </c>
      <c r="AA32" s="128" t="str">
        <f t="shared" si="3"/>
        <v/>
      </c>
      <c r="AB32" s="129" t="str">
        <f t="shared" si="25"/>
        <v/>
      </c>
      <c r="AC32" s="130" t="str">
        <f t="shared" ref="AC32:AC33" si="26">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1"/>
      <c r="AE32" s="183"/>
      <c r="AF32" s="146" t="s">
        <v>213</v>
      </c>
      <c r="AG32" s="185"/>
      <c r="AH32" s="134"/>
      <c r="AI32" s="134"/>
      <c r="AJ32" s="183"/>
      <c r="AK32" s="133"/>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151.5" hidden="1" customHeight="1" x14ac:dyDescent="0.25">
      <c r="A33" s="264"/>
      <c r="B33" s="251"/>
      <c r="C33" s="251"/>
      <c r="D33" s="251"/>
      <c r="E33" s="269"/>
      <c r="F33" s="251"/>
      <c r="G33" s="254"/>
      <c r="H33" s="272"/>
      <c r="I33" s="232"/>
      <c r="J33" s="257"/>
      <c r="K33" s="232">
        <f>IF(NOT(ISERROR(MATCH(J33,_xlfn.ANCHORARRAY(E41),0))),I43&amp;"Por favor no seleccionar los criterios de impacto",J33)</f>
        <v>0</v>
      </c>
      <c r="L33" s="229"/>
      <c r="M33" s="232"/>
      <c r="N33" s="241"/>
      <c r="O33" s="6">
        <v>6</v>
      </c>
      <c r="P33" s="123"/>
      <c r="Q33" s="124" t="str">
        <f t="shared" si="21"/>
        <v/>
      </c>
      <c r="R33" s="125"/>
      <c r="S33" s="125"/>
      <c r="T33" s="126" t="str">
        <f t="shared" si="22"/>
        <v/>
      </c>
      <c r="U33" s="125"/>
      <c r="V33" s="125"/>
      <c r="W33" s="125"/>
      <c r="X33" s="127" t="str">
        <f t="shared" si="23"/>
        <v/>
      </c>
      <c r="Y33" s="128" t="str">
        <f t="shared" si="1"/>
        <v/>
      </c>
      <c r="Z33" s="129" t="str">
        <f t="shared" si="24"/>
        <v/>
      </c>
      <c r="AA33" s="128" t="str">
        <f t="shared" si="3"/>
        <v/>
      </c>
      <c r="AB33" s="129" t="str">
        <f t="shared" si="25"/>
        <v/>
      </c>
      <c r="AC33" s="130" t="str">
        <f t="shared" si="26"/>
        <v/>
      </c>
      <c r="AD33" s="131"/>
      <c r="AE33" s="183"/>
      <c r="AF33" s="146" t="s">
        <v>213</v>
      </c>
      <c r="AG33" s="185"/>
      <c r="AH33" s="134"/>
      <c r="AI33" s="134"/>
      <c r="AJ33" s="183"/>
      <c r="AK33" s="133"/>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78" customHeight="1" x14ac:dyDescent="0.25">
      <c r="A34" s="262">
        <v>5</v>
      </c>
      <c r="B34" s="249" t="s">
        <v>132</v>
      </c>
      <c r="C34" s="249" t="s">
        <v>241</v>
      </c>
      <c r="D34" s="249" t="s">
        <v>242</v>
      </c>
      <c r="E34" s="265" t="s">
        <v>262</v>
      </c>
      <c r="F34" s="249" t="s">
        <v>122</v>
      </c>
      <c r="G34" s="252">
        <v>12</v>
      </c>
      <c r="H34" s="227" t="str">
        <f>IF(G34&lt;=0,"",IF(G34&lt;=2,"Muy Baja",IF(G34&lt;=24,"Baja",IF(G34&lt;=500,"Media",IF(G34&lt;=5000,"Alta","Muy Alta")))))</f>
        <v>Baja</v>
      </c>
      <c r="I34" s="230">
        <f>IF(H34="","",IF(H34="Muy Baja",0.2,IF(H34="Baja",0.4,IF(H34="Media",0.6,IF(H34="Alta",0.8,IF(H34="Muy Alta",1,))))))</f>
        <v>0.4</v>
      </c>
      <c r="J34" s="255" t="s">
        <v>154</v>
      </c>
      <c r="K34" s="230" t="str">
        <f>IF(NOT(ISERROR(MATCH(J34,'Tabla Impacto'!$B$221:$B$223,0))),'Tabla Impacto'!$F$223&amp;"Por favor no seleccionar los criterios de impacto(Afectación Económica o presupuestal y Pérdida Reputacional)",J34)</f>
        <v xml:space="preserve">     El riesgo afecta la imagen de la entidad a nivel nacional, con efecto publicitarios sostenible a nivel país</v>
      </c>
      <c r="L34" s="227" t="str">
        <f>IF(OR(K34='Tabla Impacto'!$C$11,K34='Tabla Impacto'!$D$11),"Leve",IF(OR(K34='Tabla Impacto'!$C$12,K34='Tabla Impacto'!$D$12),"Menor",IF(OR(K34='Tabla Impacto'!$C$13,K34='Tabla Impacto'!$D$13),"Moderado",IF(OR(K34='Tabla Impacto'!$C$14,K34='Tabla Impacto'!$D$14),"Mayor",IF(OR(K34='Tabla Impacto'!$C$15,K34='Tabla Impacto'!$D$15),"Catastrófico","")))))</f>
        <v>Catastrófico</v>
      </c>
      <c r="M34" s="230">
        <f>IF(L34="","",IF(L34="Leve",0.2,IF(L34="Menor",0.4,IF(L34="Moderado",0.6,IF(L34="Mayor",0.8,IF(L34="Catastrófico",1,))))))</f>
        <v>1</v>
      </c>
      <c r="N34" s="239"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Extremo</v>
      </c>
      <c r="O34" s="6">
        <v>1</v>
      </c>
      <c r="P34" s="153" t="s">
        <v>243</v>
      </c>
      <c r="Q34" s="138" t="str">
        <f>IF(OR(R34="Preventivo",R34="Detectivo"),"Probabilidad",IF(R34="Correctivo","Impacto",""))</f>
        <v>Probabilidad</v>
      </c>
      <c r="R34" s="139" t="s">
        <v>14</v>
      </c>
      <c r="S34" s="139" t="s">
        <v>10</v>
      </c>
      <c r="T34" s="140" t="str">
        <f>IF(AND(R34="Preventivo",S34="Automático"),"50%",IF(AND(R34="Preventivo",S34="Manual"),"40%",IF(AND(R34="Detectivo",S34="Automático"),"40%",IF(AND(R34="Detectivo",S34="Manual"),"30%",IF(AND(R34="Correctivo",S34="Automático"),"35%",IF(AND(R34="Correctivo",S34="Manual"),"25%",""))))))</f>
        <v>50%</v>
      </c>
      <c r="U34" s="139" t="s">
        <v>19</v>
      </c>
      <c r="V34" s="139" t="s">
        <v>22</v>
      </c>
      <c r="W34" s="139" t="s">
        <v>118</v>
      </c>
      <c r="X34" s="141">
        <f>IFERROR(IF(Q34="Probabilidad",(I34-(+I34*T34)),IF(Q34="Impacto",I34,"")),"")</f>
        <v>0.2</v>
      </c>
      <c r="Y34" s="142" t="str">
        <f>IFERROR(IF(X34="","",IF(X34&lt;=0.2,"Muy Baja",IF(X34&lt;=0.4,"Baja",IF(X34&lt;=0.6,"Media",IF(X34&lt;=0.8,"Alta","Muy Alta"))))),"")</f>
        <v>Muy Baja</v>
      </c>
      <c r="Z34" s="143">
        <f>+X34</f>
        <v>0.2</v>
      </c>
      <c r="AA34" s="142" t="str">
        <f>IFERROR(IF(AB34="","",IF(AB34&lt;=0.2,"Leve",IF(AB34&lt;=0.4,"Menor",IF(AB34&lt;=0.6,"Moderado",IF(AB34&lt;=0.8,"Mayor","Catastrófico"))))),"")</f>
        <v>Catastrófico</v>
      </c>
      <c r="AB34" s="143">
        <f>IFERROR(IF(Q34="Impacto",(M34-(+M34*T34)),IF(Q34="Probabilidad",M34,"")),"")</f>
        <v>1</v>
      </c>
      <c r="AC34" s="144"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Extremo</v>
      </c>
      <c r="AD34" s="145" t="s">
        <v>134</v>
      </c>
      <c r="AE34" s="183" t="s">
        <v>244</v>
      </c>
      <c r="AF34" s="146" t="s">
        <v>213</v>
      </c>
      <c r="AG34" s="183" t="s">
        <v>218</v>
      </c>
      <c r="AH34" s="147">
        <v>44927</v>
      </c>
      <c r="AI34" s="152" t="s">
        <v>260</v>
      </c>
      <c r="AJ34" s="183" t="s">
        <v>228</v>
      </c>
      <c r="AK34" s="148" t="s">
        <v>40</v>
      </c>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151.5" hidden="1" customHeight="1" x14ac:dyDescent="0.25">
      <c r="A35" s="263"/>
      <c r="B35" s="250"/>
      <c r="C35" s="250"/>
      <c r="D35" s="250"/>
      <c r="E35" s="266"/>
      <c r="F35" s="250"/>
      <c r="G35" s="253"/>
      <c r="H35" s="228"/>
      <c r="I35" s="231"/>
      <c r="J35" s="256"/>
      <c r="K35" s="231">
        <f>IF(NOT(ISERROR(MATCH(J35,_xlfn.ANCHORARRAY(E46),0))),I48&amp;"Por favor no seleccionar los criterios de impacto",J35)</f>
        <v>0</v>
      </c>
      <c r="L35" s="228"/>
      <c r="M35" s="231"/>
      <c r="N35" s="240"/>
      <c r="O35" s="6">
        <v>5</v>
      </c>
      <c r="P35" s="123"/>
      <c r="Q35" s="124" t="str">
        <f t="shared" ref="Q35:Q36" si="27">IF(OR(R35="Preventivo",R35="Detectivo"),"Probabilidad",IF(R35="Correctivo","Impacto",""))</f>
        <v/>
      </c>
      <c r="R35" s="125"/>
      <c r="S35" s="125"/>
      <c r="T35" s="126" t="str">
        <f t="shared" ref="T35:T36" si="28">IF(AND(R35="Preventivo",S35="Automático"),"50%",IF(AND(R35="Preventivo",S35="Manual"),"40%",IF(AND(R35="Detectivo",S35="Automático"),"40%",IF(AND(R35="Detectivo",S35="Manual"),"30%",IF(AND(R35="Correctivo",S35="Automático"),"35%",IF(AND(R35="Correctivo",S35="Manual"),"25%",""))))))</f>
        <v/>
      </c>
      <c r="U35" s="125"/>
      <c r="V35" s="125"/>
      <c r="W35" s="125"/>
      <c r="X35" s="127" t="str">
        <f>IFERROR(IF(AND(#REF!="Probabilidad",Q35="Probabilidad"),(#REF!-(+#REF!*T35)),IF(AND(#REF!="Impacto",Q35="Probabilidad"),(#REF!-(+#REF!*T35)),IF(Q35="Impacto",#REF!,""))),"")</f>
        <v/>
      </c>
      <c r="Y35" s="128" t="str">
        <f t="shared" si="1"/>
        <v/>
      </c>
      <c r="Z35" s="129" t="str">
        <f t="shared" ref="Z35:Z36" si="29">+X35</f>
        <v/>
      </c>
      <c r="AA35" s="128" t="str">
        <f t="shared" si="3"/>
        <v/>
      </c>
      <c r="AB35" s="129" t="str">
        <f>IFERROR(IF(AND(#REF!="Impacto",Q35="Impacto"),(#REF!-(+#REF!*T35)),IF(AND(#REF!="Probabilidad",Q35="Impacto"),(#REF!-(+#REF!*T35)),IF(Q35="Probabilidad",#REF!,""))),"")</f>
        <v/>
      </c>
      <c r="AC35" s="130" t="str">
        <f t="shared" ref="AC35:AC36" si="30">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1"/>
      <c r="AE35" s="183"/>
      <c r="AF35" s="132"/>
      <c r="AG35" s="185"/>
      <c r="AH35" s="134"/>
      <c r="AI35" s="134"/>
      <c r="AJ35" s="183"/>
      <c r="AK35" s="133"/>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t="151.5" hidden="1" customHeight="1" x14ac:dyDescent="0.25">
      <c r="A36" s="264"/>
      <c r="B36" s="251"/>
      <c r="C36" s="251"/>
      <c r="D36" s="251"/>
      <c r="E36" s="267"/>
      <c r="F36" s="251"/>
      <c r="G36" s="254"/>
      <c r="H36" s="229"/>
      <c r="I36" s="232"/>
      <c r="J36" s="257"/>
      <c r="K36" s="232">
        <f>IF(NOT(ISERROR(MATCH(J36,_xlfn.ANCHORARRAY(E47),0))),I49&amp;"Por favor no seleccionar los criterios de impacto",J36)</f>
        <v>0</v>
      </c>
      <c r="L36" s="229"/>
      <c r="M36" s="232"/>
      <c r="N36" s="241"/>
      <c r="O36" s="6">
        <v>6</v>
      </c>
      <c r="P36" s="123"/>
      <c r="Q36" s="124" t="str">
        <f t="shared" si="27"/>
        <v/>
      </c>
      <c r="R36" s="125"/>
      <c r="S36" s="125"/>
      <c r="T36" s="126" t="str">
        <f t="shared" si="28"/>
        <v/>
      </c>
      <c r="U36" s="125"/>
      <c r="V36" s="125"/>
      <c r="W36" s="125"/>
      <c r="X36" s="127" t="str">
        <f>IFERROR(IF(AND(Q35="Probabilidad",Q36="Probabilidad"),(Z35-(+Z35*T36)),IF(AND(Q35="Impacto",Q36="Probabilidad"),(#REF!-(+#REF!*T36)),IF(Q36="Impacto",Z35,""))),"")</f>
        <v/>
      </c>
      <c r="Y36" s="128" t="str">
        <f t="shared" si="1"/>
        <v/>
      </c>
      <c r="Z36" s="129" t="str">
        <f t="shared" si="29"/>
        <v/>
      </c>
      <c r="AA36" s="128" t="str">
        <f t="shared" si="3"/>
        <v/>
      </c>
      <c r="AB36" s="129" t="str">
        <f>IFERROR(IF(AND(Q35="Impacto",Q36="Impacto"),(AB35-(+AB35*T36)),IF(AND(Q35="Probabilidad",Q36="Impacto"),(#REF!-(+#REF!*T36)),IF(Q36="Probabilidad",AB35,""))),"")</f>
        <v/>
      </c>
      <c r="AC36" s="130" t="str">
        <f t="shared" si="30"/>
        <v/>
      </c>
      <c r="AD36" s="131"/>
      <c r="AE36" s="183"/>
      <c r="AF36" s="132"/>
      <c r="AG36" s="185"/>
      <c r="AH36" s="134"/>
      <c r="AI36" s="134"/>
      <c r="AJ36" s="183"/>
      <c r="AK36" s="133"/>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ht="68.400000000000006" x14ac:dyDescent="0.25">
      <c r="A37" s="262">
        <v>6</v>
      </c>
      <c r="B37" s="249" t="s">
        <v>132</v>
      </c>
      <c r="C37" s="249" t="s">
        <v>245</v>
      </c>
      <c r="D37" s="249" t="s">
        <v>230</v>
      </c>
      <c r="E37" s="265" t="s">
        <v>261</v>
      </c>
      <c r="F37" s="249" t="s">
        <v>122</v>
      </c>
      <c r="G37" s="252">
        <v>435</v>
      </c>
      <c r="H37" s="227" t="str">
        <f>IF(G37&lt;=0,"",IF(G37&lt;=2,"Muy Baja",IF(G37&lt;=24,"Baja",IF(G37&lt;=500,"Media",IF(G37&lt;=5000,"Alta","Muy Alta")))))</f>
        <v>Media</v>
      </c>
      <c r="I37" s="230">
        <f>IF(H37="","",IF(H37="Muy Baja",0.2,IF(H37="Baja",0.4,IF(H37="Media",0.6,IF(H37="Alta",0.8,IF(H37="Muy Alta",1,))))))</f>
        <v>0.6</v>
      </c>
      <c r="J37" s="255" t="s">
        <v>152</v>
      </c>
      <c r="K37" s="245" t="str">
        <f>IF(NOT(ISERROR(MATCH(J37,'Tabla Impacto'!$B$221:$B$223,0))),'Tabla Impacto'!$F$223&amp;"Por favor no seleccionar los criterios de impacto(Afectación Económica o presupuestal y Pérdida Reputacional)",J37)</f>
        <v xml:space="preserve">     El riesgo afecta la imagen de la entidad con algunos usuarios de relevancia frente al logro de los objetivos</v>
      </c>
      <c r="L37" s="227" t="str">
        <f>IF(OR(K37='Tabla Impacto'!$C$11,K37='Tabla Impacto'!$D$11),"Leve",IF(OR(K37='Tabla Impacto'!$C$12,K37='Tabla Impacto'!$D$12),"Menor",IF(OR(K37='Tabla Impacto'!$C$13,K37='Tabla Impacto'!$D$13),"Moderado",IF(OR(K37='Tabla Impacto'!$C$14,K37='Tabla Impacto'!$D$14),"Mayor",IF(OR(K37='Tabla Impacto'!$C$15,K37='Tabla Impacto'!$D$15),"Catastrófico","")))))</f>
        <v>Moderado</v>
      </c>
      <c r="M37" s="230">
        <f>IF(L37="","",IF(L37="Leve",0.2,IF(L37="Menor",0.4,IF(L37="Moderado",0.6,IF(L37="Mayor",0.8,IF(L37="Catastrófico",1,))))))</f>
        <v>0.6</v>
      </c>
      <c r="N37" s="239"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Moderado</v>
      </c>
      <c r="O37" s="6">
        <v>1</v>
      </c>
      <c r="P37" s="149" t="s">
        <v>246</v>
      </c>
      <c r="Q37" s="138" t="str">
        <f>IF(OR(R37="Preventivo",R37="Detectivo"),"Probabilidad",IF(R37="Correctivo","Impacto",""))</f>
        <v>Probabilidad</v>
      </c>
      <c r="R37" s="139" t="s">
        <v>14</v>
      </c>
      <c r="S37" s="139" t="s">
        <v>10</v>
      </c>
      <c r="T37" s="140" t="str">
        <f>IF(AND(R37="Preventivo",S37="Automático"),"50%",IF(AND(R37="Preventivo",S37="Manual"),"40%",IF(AND(R37="Detectivo",S37="Automático"),"40%",IF(AND(R37="Detectivo",S37="Manual"),"30%",IF(AND(R37="Correctivo",S37="Automático"),"35%",IF(AND(R37="Correctivo",S37="Manual"),"25%",""))))))</f>
        <v>50%</v>
      </c>
      <c r="U37" s="139" t="s">
        <v>19</v>
      </c>
      <c r="V37" s="139" t="s">
        <v>22</v>
      </c>
      <c r="W37" s="139" t="s">
        <v>118</v>
      </c>
      <c r="X37" s="141">
        <f>IFERROR(IF(Q37="Probabilidad",(I37-(+I37*T37)),IF(Q37="Impacto",I37,"")),"")</f>
        <v>0.3</v>
      </c>
      <c r="Y37" s="142" t="str">
        <f>IFERROR(IF(X37="","",IF(X37&lt;=0.2,"Muy Baja",IF(X37&lt;=0.4,"Baja",IF(X37&lt;=0.6,"Media",IF(X37&lt;=0.8,"Alta","Muy Alta"))))),"")</f>
        <v>Baja</v>
      </c>
      <c r="Z37" s="143">
        <f>+X37</f>
        <v>0.3</v>
      </c>
      <c r="AA37" s="142" t="str">
        <f>IFERROR(IF(AB37="","",IF(AB37&lt;=0.2,"Leve",IF(AB37&lt;=0.4,"Menor",IF(AB37&lt;=0.6,"Moderado",IF(AB37&lt;=0.8,"Mayor","Catastrófico"))))),"")</f>
        <v>Moderado</v>
      </c>
      <c r="AB37" s="143">
        <f>IFERROR(IF(Q37="Impacto",(M37-(+M37*T37)),IF(Q37="Probabilidad",M37,"")),"")</f>
        <v>0.6</v>
      </c>
      <c r="AC37" s="144"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Moderado</v>
      </c>
      <c r="AD37" s="145" t="s">
        <v>134</v>
      </c>
      <c r="AE37" s="183" t="s">
        <v>221</v>
      </c>
      <c r="AF37" s="146" t="s">
        <v>213</v>
      </c>
      <c r="AG37" s="183" t="s">
        <v>222</v>
      </c>
      <c r="AH37" s="147">
        <v>44927</v>
      </c>
      <c r="AI37" s="147">
        <v>45291</v>
      </c>
      <c r="AJ37" s="183" t="s">
        <v>282</v>
      </c>
      <c r="AK37" s="148" t="s">
        <v>40</v>
      </c>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idden="1" x14ac:dyDescent="0.25">
      <c r="A38" s="263"/>
      <c r="B38" s="250"/>
      <c r="C38" s="250"/>
      <c r="D38" s="250"/>
      <c r="E38" s="266"/>
      <c r="F38" s="250"/>
      <c r="G38" s="253"/>
      <c r="H38" s="228"/>
      <c r="I38" s="231"/>
      <c r="J38" s="256"/>
      <c r="K38" s="246">
        <f>IF(NOT(ISERROR(MATCH(J38,_xlfn.ANCHORARRAY(E49),0))),I51&amp;"Por favor no seleccionar los criterios de impacto",J38)</f>
        <v>0</v>
      </c>
      <c r="L38" s="228"/>
      <c r="M38" s="231"/>
      <c r="N38" s="240"/>
      <c r="O38" s="6">
        <v>2</v>
      </c>
      <c r="P38" s="149"/>
      <c r="Q38" s="138"/>
      <c r="R38" s="139"/>
      <c r="S38" s="139"/>
      <c r="T38" s="140"/>
      <c r="U38" s="139"/>
      <c r="V38" s="139"/>
      <c r="W38" s="139"/>
      <c r="X38" s="141"/>
      <c r="Y38" s="142"/>
      <c r="Z38" s="143"/>
      <c r="AA38" s="142"/>
      <c r="AB38" s="143"/>
      <c r="AC38" s="144"/>
      <c r="AD38" s="145"/>
      <c r="AE38" s="183"/>
      <c r="AF38" s="146"/>
      <c r="AG38" s="146"/>
      <c r="AH38" s="147"/>
      <c r="AI38" s="147"/>
      <c r="AJ38" s="183"/>
      <c r="AK38" s="148"/>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idden="1" x14ac:dyDescent="0.25">
      <c r="A39" s="263"/>
      <c r="B39" s="250"/>
      <c r="C39" s="250"/>
      <c r="D39" s="250"/>
      <c r="E39" s="266"/>
      <c r="F39" s="250"/>
      <c r="G39" s="253"/>
      <c r="H39" s="228"/>
      <c r="I39" s="231"/>
      <c r="J39" s="256"/>
      <c r="K39" s="246">
        <f>IF(NOT(ISERROR(MATCH(J39,_xlfn.ANCHORARRAY(E50),0))),I52&amp;"Por favor no seleccionar los criterios de impacto",J39)</f>
        <v>0</v>
      </c>
      <c r="L39" s="228"/>
      <c r="M39" s="231"/>
      <c r="N39" s="240"/>
      <c r="O39" s="6">
        <v>3</v>
      </c>
      <c r="P39" s="146"/>
      <c r="Q39" s="138"/>
      <c r="R39" s="139"/>
      <c r="S39" s="139"/>
      <c r="T39" s="140"/>
      <c r="U39" s="139"/>
      <c r="V39" s="139"/>
      <c r="W39" s="139"/>
      <c r="X39" s="141"/>
      <c r="Y39" s="142"/>
      <c r="Z39" s="143"/>
      <c r="AA39" s="142"/>
      <c r="AB39" s="143"/>
      <c r="AC39" s="144"/>
      <c r="AD39" s="145"/>
      <c r="AE39" s="183"/>
      <c r="AF39" s="146"/>
      <c r="AG39" s="146"/>
      <c r="AH39" s="147"/>
      <c r="AI39" s="147"/>
      <c r="AJ39" s="183"/>
      <c r="AK39" s="148"/>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idden="1" x14ac:dyDescent="0.25">
      <c r="A40" s="263"/>
      <c r="B40" s="250"/>
      <c r="C40" s="250"/>
      <c r="D40" s="250"/>
      <c r="E40" s="266"/>
      <c r="F40" s="250"/>
      <c r="G40" s="253"/>
      <c r="H40" s="228"/>
      <c r="I40" s="231"/>
      <c r="J40" s="256"/>
      <c r="K40" s="246">
        <f>IF(NOT(ISERROR(MATCH(J40,_xlfn.ANCHORARRAY(E51),0))),I53&amp;"Por favor no seleccionar los criterios de impacto",J40)</f>
        <v>0</v>
      </c>
      <c r="L40" s="228"/>
      <c r="M40" s="231"/>
      <c r="N40" s="240"/>
      <c r="O40" s="122">
        <v>4</v>
      </c>
      <c r="P40" s="123"/>
      <c r="Q40" s="124" t="str">
        <f t="shared" ref="Q40:Q42" si="31">IF(OR(R40="Preventivo",R40="Detectivo"),"Probabilidad",IF(R40="Correctivo","Impacto",""))</f>
        <v/>
      </c>
      <c r="R40" s="125"/>
      <c r="S40" s="125"/>
      <c r="T40" s="126" t="str">
        <f t="shared" ref="T40:T42" si="32">IF(AND(R40="Preventivo",S40="Automático"),"50%",IF(AND(R40="Preventivo",S40="Manual"),"40%",IF(AND(R40="Detectivo",S40="Automático"),"40%",IF(AND(R40="Detectivo",S40="Manual"),"30%",IF(AND(R40="Correctivo",S40="Automático"),"35%",IF(AND(R40="Correctivo",S40="Manual"),"25%",""))))))</f>
        <v/>
      </c>
      <c r="U40" s="125"/>
      <c r="V40" s="125"/>
      <c r="W40" s="125"/>
      <c r="X40" s="127" t="str">
        <f t="shared" ref="X40:X42" si="33">IFERROR(IF(AND(Q39="Probabilidad",Q40="Probabilidad"),(Z39-(+Z39*T40)),IF(AND(Q39="Impacto",Q40="Probabilidad"),(Z38-(+Z38*T40)),IF(Q40="Impacto",Z39,""))),"")</f>
        <v/>
      </c>
      <c r="Y40" s="128" t="str">
        <f t="shared" si="1"/>
        <v/>
      </c>
      <c r="Z40" s="129" t="str">
        <f t="shared" ref="Z40:Z42" si="34">+X40</f>
        <v/>
      </c>
      <c r="AA40" s="128" t="str">
        <f t="shared" si="3"/>
        <v/>
      </c>
      <c r="AB40" s="129" t="str">
        <f t="shared" ref="AB40:AB42" si="35">IFERROR(IF(AND(Q39="Impacto",Q40="Impacto"),(AB39-(+AB39*T40)),IF(AND(Q39="Probabilidad",Q40="Impacto"),(AB38-(+AB38*T40)),IF(Q40="Probabilidad",AB39,""))),"")</f>
        <v/>
      </c>
      <c r="AC40" s="130"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1"/>
      <c r="AE40" s="183"/>
      <c r="AF40" s="132"/>
      <c r="AG40" s="133"/>
      <c r="AH40" s="134"/>
      <c r="AI40" s="134"/>
      <c r="AJ40" s="183"/>
      <c r="AK40" s="133"/>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idden="1" x14ac:dyDescent="0.25">
      <c r="A41" s="263"/>
      <c r="B41" s="250"/>
      <c r="C41" s="250"/>
      <c r="D41" s="250"/>
      <c r="E41" s="266"/>
      <c r="F41" s="250"/>
      <c r="G41" s="253"/>
      <c r="H41" s="228"/>
      <c r="I41" s="231"/>
      <c r="J41" s="256"/>
      <c r="K41" s="246">
        <f>IF(NOT(ISERROR(MATCH(J41,_xlfn.ANCHORARRAY(E52),0))),I54&amp;"Por favor no seleccionar los criterios de impacto",J41)</f>
        <v>0</v>
      </c>
      <c r="L41" s="228"/>
      <c r="M41" s="231"/>
      <c r="N41" s="240"/>
      <c r="O41" s="122">
        <v>5</v>
      </c>
      <c r="P41" s="123"/>
      <c r="Q41" s="124" t="str">
        <f t="shared" si="31"/>
        <v/>
      </c>
      <c r="R41" s="125"/>
      <c r="S41" s="125"/>
      <c r="T41" s="126" t="str">
        <f t="shared" si="32"/>
        <v/>
      </c>
      <c r="U41" s="125"/>
      <c r="V41" s="125"/>
      <c r="W41" s="125"/>
      <c r="X41" s="127" t="str">
        <f t="shared" si="33"/>
        <v/>
      </c>
      <c r="Y41" s="128" t="str">
        <f t="shared" si="1"/>
        <v/>
      </c>
      <c r="Z41" s="129" t="str">
        <f t="shared" si="34"/>
        <v/>
      </c>
      <c r="AA41" s="128" t="str">
        <f t="shared" si="3"/>
        <v/>
      </c>
      <c r="AB41" s="129" t="str">
        <f t="shared" si="35"/>
        <v/>
      </c>
      <c r="AC41" s="130" t="str">
        <f t="shared" ref="AC41" si="36">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1"/>
      <c r="AE41" s="183"/>
      <c r="AF41" s="132"/>
      <c r="AG41" s="133"/>
      <c r="AH41" s="134"/>
      <c r="AI41" s="134"/>
      <c r="AJ41" s="183"/>
      <c r="AK41" s="133"/>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idden="1" x14ac:dyDescent="0.25">
      <c r="A42" s="264"/>
      <c r="B42" s="251"/>
      <c r="C42" s="251"/>
      <c r="D42" s="251"/>
      <c r="E42" s="267"/>
      <c r="F42" s="251"/>
      <c r="G42" s="254"/>
      <c r="H42" s="229"/>
      <c r="I42" s="232"/>
      <c r="J42" s="257"/>
      <c r="K42" s="247">
        <f>IF(NOT(ISERROR(MATCH(J42,_xlfn.ANCHORARRAY(E53),0))),I55&amp;"Por favor no seleccionar los criterios de impacto",J42)</f>
        <v>0</v>
      </c>
      <c r="L42" s="228"/>
      <c r="M42" s="232"/>
      <c r="N42" s="241"/>
      <c r="O42" s="122">
        <v>6</v>
      </c>
      <c r="P42" s="123"/>
      <c r="Q42" s="124" t="str">
        <f t="shared" si="31"/>
        <v/>
      </c>
      <c r="R42" s="125"/>
      <c r="S42" s="125"/>
      <c r="T42" s="126" t="str">
        <f t="shared" si="32"/>
        <v/>
      </c>
      <c r="U42" s="125"/>
      <c r="V42" s="125"/>
      <c r="W42" s="125"/>
      <c r="X42" s="127" t="str">
        <f t="shared" si="33"/>
        <v/>
      </c>
      <c r="Y42" s="128" t="str">
        <f t="shared" si="1"/>
        <v/>
      </c>
      <c r="Z42" s="129" t="str">
        <f t="shared" si="34"/>
        <v/>
      </c>
      <c r="AA42" s="128" t="str">
        <f>IFERROR(IF(AB42="","",IF(AB42&lt;=0.2,"Leve",IF(AB42&lt;=0.4,"Menor",IF(AB42&lt;=0.6,"Moderado",IF(AB42&lt;=0.8,"Mayor","Catastrófico"))))),"")</f>
        <v/>
      </c>
      <c r="AB42" s="129" t="str">
        <f t="shared" si="35"/>
        <v/>
      </c>
      <c r="AC42" s="130"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31"/>
      <c r="AE42" s="183"/>
      <c r="AF42" s="132"/>
      <c r="AG42" s="133"/>
      <c r="AH42" s="134"/>
      <c r="AI42" s="134"/>
      <c r="AJ42" s="183"/>
      <c r="AK42" s="133"/>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97.5" customHeight="1" x14ac:dyDescent="0.25">
      <c r="A43" s="262">
        <v>7</v>
      </c>
      <c r="B43" s="249" t="s">
        <v>132</v>
      </c>
      <c r="C43" s="156" t="s">
        <v>273</v>
      </c>
      <c r="D43" s="156" t="s">
        <v>232</v>
      </c>
      <c r="E43" s="159" t="s">
        <v>272</v>
      </c>
      <c r="F43" s="156" t="s">
        <v>122</v>
      </c>
      <c r="G43" s="252">
        <v>100</v>
      </c>
      <c r="H43" s="270" t="str">
        <f>IF(G43&lt;=0,"",IF(G43&lt;=2,"Muy Baja",IF(G43&lt;=24,"Baja",IF(G43&lt;=500,"Media",IF(G43&lt;=5000,"Alta","Muy Alta")))))</f>
        <v>Media</v>
      </c>
      <c r="I43" s="245">
        <f>IF(H43="","",IF(H43="Muy Baja",0.2,IF(H43="Baja",0.4,IF(H43="Media",0.6,IF(H43="Alta",0.8,IF(H43="Muy Alta",1,))))))</f>
        <v>0.6</v>
      </c>
      <c r="J43" s="255" t="s">
        <v>152</v>
      </c>
      <c r="K43" s="182" t="str">
        <f>IF(NOT(ISERROR(MATCH(J43,'Tabla Impacto'!$B$221:$B$223,0))),'Tabla Impacto'!$F$223&amp;"Por favor no seleccionar los criterios de impacto(Afectación Económica o presupuestal y Pérdida Reputacional)",J43)</f>
        <v xml:space="preserve">     El riesgo afecta la imagen de la entidad con algunos usuarios de relevancia frente al logro de los objetivos</v>
      </c>
      <c r="L43" s="300" t="str">
        <f>IF(OR(K43='Tabla Impacto'!$C$11,K43='Tabla Impacto'!$D$11),"Leve",IF(OR(K43='Tabla Impacto'!$C$12,K43='Tabla Impacto'!$D$12),"Menor",IF(OR(K43='Tabla Impacto'!$C$13,K43='Tabla Impacto'!$D$13),"Moderado",IF(OR(K43='Tabla Impacto'!$C$14,K43='Tabla Impacto'!$D$14),"Mayor",IF(OR(K43='Tabla Impacto'!$C$15,K43='Tabla Impacto'!$D$15),"Catastrófico","")))))</f>
        <v>Moderado</v>
      </c>
      <c r="M43" s="301">
        <f>IF(L43="","",IF(L43="Leve",0.2,IF(L43="Menor",0.4,IF(L43="Moderado",0.6,IF(L43="Mayor",0.8,IF(L43="Catastrófico",1,))))))</f>
        <v>0.6</v>
      </c>
      <c r="N43" s="279" t="str">
        <f>IF(OR(AND(H43="Muy Baja",L43="Leve"),AND(H43="Muy Baja",L43="Menor"),AND(H43="Baja",L43="Leve")),"Bajo",IF(OR(AND(H43="Muy baja",L43="Moderado"),AND(H43="Baja",L43="Menor"),AND(H43="Baja",L43="Moderado"),AND(H43="Media",L43="Leve"),AND(H43="Media",L43="Menor"),AND(H43="Media",L43="Moderado"),AND(H43="Alta",L43="Leve"),AND(H43="Alta",L43="Menor")),"Moderado",IF(OR(AND(H43="Muy Baja",L43="Mayor"),AND(H43="Baja",L43="Mayor"),AND(H43="Media",L43="Mayor"),AND(H43="Alta",L43="Moderado"),AND(H43="Alta",L43="Mayor"),AND(H43="Muy Alta",L43="Leve"),AND(H43="Muy Alta",L43="Menor"),AND(H43="Muy Alta",L43="Moderado"),AND(H43="Muy Alta",L43="Mayor")),"Alto",IF(OR(AND(H43="Muy Baja",L43="Catastrófico"),AND(H43="Baja",L43="Catastrófico"),AND(H43="Media",L43="Catastrófico"),AND(H43="Alta",L43="Catastrófico"),AND(H43="Muy Alta",L43="Catastrófico")),"Extremo",""))))</f>
        <v>Moderado</v>
      </c>
      <c r="O43" s="122">
        <v>1</v>
      </c>
      <c r="P43" s="149" t="s">
        <v>231</v>
      </c>
      <c r="Q43" s="138" t="str">
        <f>IF(OR(R43="Preventivo",R43="Detectivo"),"Probabilidad",IF(R43="Correctivo","Impacto",""))</f>
        <v>Probabilidad</v>
      </c>
      <c r="R43" s="125" t="s">
        <v>14</v>
      </c>
      <c r="S43" s="125" t="s">
        <v>10</v>
      </c>
      <c r="T43" s="126" t="str">
        <f>IF(AND(R43="Preventivo",S43="Automático"),"50%",IF(AND(R43="Preventivo",S43="Manual"),"40%",IF(AND(R43="Detectivo",S43="Automático"),"40%",IF(AND(R43="Detectivo",S43="Manual"),"30%",IF(AND(R43="Correctivo",S43="Automático"),"35%",IF(AND(R43="Correctivo",S43="Manual"),"25%",""))))))</f>
        <v>50%</v>
      </c>
      <c r="U43" s="125" t="s">
        <v>19</v>
      </c>
      <c r="V43" s="125" t="s">
        <v>22</v>
      </c>
      <c r="W43" s="125" t="s">
        <v>118</v>
      </c>
      <c r="X43" s="127">
        <f>IFERROR(IF(Q43="Probabilidad",(I43-(+I43*T43)),IF(Q43="Impacto",I43,"")),"")</f>
        <v>0.3</v>
      </c>
      <c r="Y43" s="128" t="str">
        <f>IFERROR(IF(X43="","",IF(X43&lt;=0.2,"Muy Baja",IF(X43&lt;=0.4,"Baja",IF(X43&lt;=0.6,"Media",IF(X43&lt;=0.8,"Alta","Muy Alta"))))),"")</f>
        <v>Baja</v>
      </c>
      <c r="Z43" s="129">
        <f>+X43</f>
        <v>0.3</v>
      </c>
      <c r="AA43" s="128" t="str">
        <f>IFERROR(IF(AB43="","",IF(AB43&lt;=0.2,"Leve",IF(AB43&lt;=0.4,"Menor",IF(AB43&lt;=0.6,"Moderado",IF(AB43&lt;=0.8,"Mayor","Catastrófico"))))),"")</f>
        <v>Moderado</v>
      </c>
      <c r="AB43" s="129">
        <f>IFERROR(IF(Q43="Impacto",(M43-(+M43*T43)),IF(Q43="Probabilidad",M43,"")),"")</f>
        <v>0.6</v>
      </c>
      <c r="AC43" s="130"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Moderado</v>
      </c>
      <c r="AD43" s="131" t="s">
        <v>134</v>
      </c>
      <c r="AE43" s="183" t="s">
        <v>247</v>
      </c>
      <c r="AF43" s="146" t="s">
        <v>213</v>
      </c>
      <c r="AG43" s="183" t="s">
        <v>223</v>
      </c>
      <c r="AH43" s="147">
        <v>44927</v>
      </c>
      <c r="AI43" s="147">
        <v>45169</v>
      </c>
      <c r="AJ43" s="183" t="s">
        <v>276</v>
      </c>
      <c r="AK43" s="148" t="s">
        <v>40</v>
      </c>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idden="1" x14ac:dyDescent="0.25">
      <c r="A44" s="264"/>
      <c r="B44" s="251"/>
      <c r="C44" s="157"/>
      <c r="D44" s="154"/>
      <c r="E44" s="160"/>
      <c r="F44" s="157"/>
      <c r="G44" s="252"/>
      <c r="H44" s="270"/>
      <c r="I44" s="245"/>
      <c r="J44" s="255"/>
      <c r="K44" s="177">
        <f>IF(NOT(ISERROR(MATCH(J44,_xlfn.ANCHORARRAY(E55),0))),I57&amp;"Por favor no seleccionar los criterios de impacto",J44)</f>
        <v>0</v>
      </c>
      <c r="L44" s="300"/>
      <c r="M44" s="301"/>
      <c r="N44" s="279"/>
      <c r="O44" s="122">
        <v>2</v>
      </c>
      <c r="P44" s="149"/>
      <c r="Q44" s="124" t="str">
        <f>IF(OR(R44="Preventivo",R44="Detectivo"),"Probabilidad",IF(R44="Correctivo","Impacto",""))</f>
        <v/>
      </c>
      <c r="R44" s="125"/>
      <c r="S44" s="125"/>
      <c r="T44" s="126" t="str">
        <f t="shared" ref="T44:T54" si="37">IF(AND(R44="Preventivo",S44="Automático"),"50%",IF(AND(R44="Preventivo",S44="Manual"),"40%",IF(AND(R44="Detectivo",S44="Automático"),"40%",IF(AND(R44="Detectivo",S44="Manual"),"30%",IF(AND(R44="Correctivo",S44="Automático"),"35%",IF(AND(R44="Correctivo",S44="Manual"),"25%",""))))))</f>
        <v/>
      </c>
      <c r="U44" s="125"/>
      <c r="V44" s="125"/>
      <c r="W44" s="125"/>
      <c r="X44" s="127" t="str">
        <f>IFERROR(IF(AND(Q43="Probabilidad",Q44="Probabilidad"),(Z43-(+Z43*T44)),IF(Q44="Probabilidad",(I43-(+I43*T44)),IF(Q44="Impacto",Z43,""))),"")</f>
        <v/>
      </c>
      <c r="Y44" s="128" t="str">
        <f t="shared" si="1"/>
        <v/>
      </c>
      <c r="Z44" s="129" t="str">
        <f t="shared" ref="Z44:Z54" si="38">+X44</f>
        <v/>
      </c>
      <c r="AA44" s="128" t="str">
        <f t="shared" si="3"/>
        <v/>
      </c>
      <c r="AB44" s="129" t="str">
        <f>IFERROR(IF(AND(Q43="Impacto",Q44="Impacto"),(AB43-(+AB43*T44)),IF(Q44="Impacto",(M43-(+M43*T44)),IF(Q44="Probabilidad",AB43,""))),"")</f>
        <v/>
      </c>
      <c r="AC44" s="130" t="str">
        <f t="shared" ref="AC44:AC45" si="39">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1"/>
      <c r="AE44" s="132"/>
      <c r="AF44" s="132"/>
      <c r="AG44" s="133"/>
      <c r="AH44" s="147">
        <v>44927</v>
      </c>
      <c r="AI44" s="147">
        <v>45291</v>
      </c>
      <c r="AJ44" s="132"/>
      <c r="AK44" s="133"/>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15.75" hidden="1" customHeight="1" x14ac:dyDescent="0.25">
      <c r="A45" s="263"/>
      <c r="B45" s="250"/>
      <c r="C45" s="157"/>
      <c r="D45" s="154"/>
      <c r="E45" s="160"/>
      <c r="F45" s="157"/>
      <c r="G45" s="167"/>
      <c r="H45" s="171"/>
      <c r="I45" s="174"/>
      <c r="J45" s="173"/>
      <c r="K45" s="177">
        <f t="shared" ref="K45:K48" si="40">IF(NOT(ISERROR(MATCH(J45,_xlfn.ANCHORARRAY(E56),0))),I58&amp;"Por favor no seleccionar los criterios de impacto",J45)</f>
        <v>0</v>
      </c>
      <c r="L45" s="181"/>
      <c r="M45" s="179"/>
      <c r="N45" s="175"/>
      <c r="O45" s="122">
        <v>3</v>
      </c>
      <c r="P45" s="148"/>
      <c r="Q45" s="124" t="str">
        <f>IF(OR(R45="Preventivo",R45="Detectivo"),"Probabilidad",IF(R45="Correctivo","Impacto",""))</f>
        <v/>
      </c>
      <c r="R45" s="125"/>
      <c r="S45" s="125"/>
      <c r="T45" s="126" t="str">
        <f t="shared" si="37"/>
        <v/>
      </c>
      <c r="U45" s="125"/>
      <c r="V45" s="125"/>
      <c r="W45" s="125"/>
      <c r="X45" s="127" t="str">
        <f>IFERROR(IF(AND(Q44="Probabilidad",Q45="Probabilidad"),(Z44-(+Z44*T45)),IF(AND(Q44="Impacto",Q45="Probabilidad"),(Z43-(+Z43*T45)),IF(Q45="Impacto",Z44,""))),"")</f>
        <v/>
      </c>
      <c r="Y45" s="128" t="str">
        <f t="shared" si="1"/>
        <v/>
      </c>
      <c r="Z45" s="129" t="str">
        <f t="shared" si="38"/>
        <v/>
      </c>
      <c r="AA45" s="128" t="str">
        <f t="shared" si="3"/>
        <v/>
      </c>
      <c r="AB45" s="129" t="str">
        <f>IFERROR(IF(AND(Q44="Impacto",Q45="Impacto"),(AB44-(+AB44*T45)),IF(AND(Q44="Probabilidad",Q45="Impacto"),(AB43-(+AB43*T45)),IF(Q45="Probabilidad",AB44,""))),"")</f>
        <v/>
      </c>
      <c r="AC45" s="130" t="str">
        <f t="shared" si="39"/>
        <v/>
      </c>
      <c r="AD45" s="131"/>
      <c r="AE45" s="132"/>
      <c r="AF45" s="132"/>
      <c r="AG45" s="133"/>
      <c r="AH45" s="147">
        <v>44927</v>
      </c>
      <c r="AI45" s="147">
        <v>45291</v>
      </c>
      <c r="AJ45" s="132"/>
      <c r="AK45" s="133"/>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idden="1" x14ac:dyDescent="0.25">
      <c r="A46" s="263"/>
      <c r="B46" s="250"/>
      <c r="C46" s="157"/>
      <c r="D46" s="154"/>
      <c r="E46" s="160"/>
      <c r="F46" s="157"/>
      <c r="G46" s="167"/>
      <c r="H46" s="171"/>
      <c r="I46" s="174"/>
      <c r="J46" s="173"/>
      <c r="K46" s="177">
        <f t="shared" si="40"/>
        <v>0</v>
      </c>
      <c r="L46" s="181"/>
      <c r="M46" s="179"/>
      <c r="N46" s="175"/>
      <c r="O46" s="122">
        <v>4</v>
      </c>
      <c r="P46" s="149"/>
      <c r="Q46" s="124" t="str">
        <f t="shared" ref="Q46:Q54" si="41">IF(OR(R46="Preventivo",R46="Detectivo"),"Probabilidad",IF(R46="Correctivo","Impacto",""))</f>
        <v/>
      </c>
      <c r="R46" s="125"/>
      <c r="S46" s="125"/>
      <c r="T46" s="126" t="str">
        <f t="shared" si="37"/>
        <v/>
      </c>
      <c r="U46" s="125"/>
      <c r="V46" s="125"/>
      <c r="W46" s="125"/>
      <c r="X46" s="127" t="str">
        <f t="shared" ref="X46:X48" si="42">IFERROR(IF(AND(Q45="Probabilidad",Q46="Probabilidad"),(Z45-(+Z45*T46)),IF(AND(Q45="Impacto",Q46="Probabilidad"),(Z44-(+Z44*T46)),IF(Q46="Impacto",Z45,""))),"")</f>
        <v/>
      </c>
      <c r="Y46" s="128" t="str">
        <f t="shared" si="1"/>
        <v/>
      </c>
      <c r="Z46" s="129" t="str">
        <f t="shared" si="38"/>
        <v/>
      </c>
      <c r="AA46" s="128" t="str">
        <f t="shared" si="3"/>
        <v/>
      </c>
      <c r="AB46" s="129" t="str">
        <f t="shared" ref="AB46:AB48" si="43">IFERROR(IF(AND(Q45="Impacto",Q46="Impacto"),(AB45-(+AB45*T46)),IF(AND(Q45="Probabilidad",Q46="Impacto"),(AB44-(+AB44*T46)),IF(Q46="Probabilidad",AB45,""))),"")</f>
        <v/>
      </c>
      <c r="AC46" s="130"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1"/>
      <c r="AE46" s="132"/>
      <c r="AF46" s="132"/>
      <c r="AG46" s="133"/>
      <c r="AH46" s="147">
        <v>44927</v>
      </c>
      <c r="AI46" s="147">
        <v>45291</v>
      </c>
      <c r="AJ46" s="132"/>
      <c r="AK46" s="133"/>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idden="1" x14ac:dyDescent="0.25">
      <c r="A47" s="263"/>
      <c r="B47" s="250"/>
      <c r="C47" s="157"/>
      <c r="D47" s="154"/>
      <c r="E47" s="160"/>
      <c r="F47" s="157"/>
      <c r="G47" s="167"/>
      <c r="H47" s="171"/>
      <c r="I47" s="174"/>
      <c r="J47" s="173"/>
      <c r="K47" s="177">
        <f t="shared" si="40"/>
        <v>0</v>
      </c>
      <c r="L47" s="181"/>
      <c r="M47" s="179"/>
      <c r="N47" s="175"/>
      <c r="O47" s="122">
        <v>5</v>
      </c>
      <c r="P47" s="149"/>
      <c r="Q47" s="124" t="str">
        <f t="shared" si="41"/>
        <v/>
      </c>
      <c r="R47" s="125"/>
      <c r="S47" s="125"/>
      <c r="T47" s="126" t="str">
        <f t="shared" si="37"/>
        <v/>
      </c>
      <c r="U47" s="125"/>
      <c r="V47" s="125"/>
      <c r="W47" s="125"/>
      <c r="X47" s="127" t="str">
        <f t="shared" si="42"/>
        <v/>
      </c>
      <c r="Y47" s="128" t="str">
        <f t="shared" si="1"/>
        <v/>
      </c>
      <c r="Z47" s="129" t="str">
        <f t="shared" si="38"/>
        <v/>
      </c>
      <c r="AA47" s="128" t="str">
        <f t="shared" si="3"/>
        <v/>
      </c>
      <c r="AB47" s="129" t="str">
        <f t="shared" si="43"/>
        <v/>
      </c>
      <c r="AC47" s="130" t="str">
        <f t="shared" ref="AC47:AC54" si="44">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1"/>
      <c r="AE47" s="132"/>
      <c r="AF47" s="132"/>
      <c r="AG47" s="133"/>
      <c r="AH47" s="147">
        <v>44927</v>
      </c>
      <c r="AI47" s="147">
        <v>45291</v>
      </c>
      <c r="AJ47" s="132"/>
      <c r="AK47" s="133"/>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idden="1" x14ac:dyDescent="0.25">
      <c r="A48" s="264"/>
      <c r="B48" s="251"/>
      <c r="C48" s="158"/>
      <c r="D48" s="155"/>
      <c r="E48" s="161"/>
      <c r="F48" s="158"/>
      <c r="G48" s="168"/>
      <c r="H48" s="172"/>
      <c r="I48" s="170"/>
      <c r="J48" s="169"/>
      <c r="K48" s="178">
        <f t="shared" si="40"/>
        <v>0</v>
      </c>
      <c r="L48" s="181"/>
      <c r="M48" s="180"/>
      <c r="N48" s="176"/>
      <c r="O48" s="122">
        <v>6</v>
      </c>
      <c r="P48" s="149"/>
      <c r="Q48" s="124" t="str">
        <f t="shared" si="41"/>
        <v/>
      </c>
      <c r="R48" s="125"/>
      <c r="S48" s="125"/>
      <c r="T48" s="126" t="str">
        <f t="shared" si="37"/>
        <v/>
      </c>
      <c r="U48" s="125"/>
      <c r="V48" s="125"/>
      <c r="W48" s="125"/>
      <c r="X48" s="127" t="str">
        <f t="shared" si="42"/>
        <v/>
      </c>
      <c r="Y48" s="128" t="str">
        <f t="shared" si="1"/>
        <v/>
      </c>
      <c r="Z48" s="129" t="str">
        <f t="shared" si="38"/>
        <v/>
      </c>
      <c r="AA48" s="128" t="str">
        <f t="shared" si="3"/>
        <v/>
      </c>
      <c r="AB48" s="129" t="str">
        <f t="shared" si="43"/>
        <v/>
      </c>
      <c r="AC48" s="130" t="str">
        <f t="shared" si="44"/>
        <v/>
      </c>
      <c r="AD48" s="131"/>
      <c r="AE48" s="132"/>
      <c r="AF48" s="132"/>
      <c r="AG48" s="133"/>
      <c r="AH48" s="147">
        <v>44927</v>
      </c>
      <c r="AI48" s="147">
        <v>45291</v>
      </c>
      <c r="AJ48" s="132"/>
      <c r="AK48" s="133"/>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114.75" customHeight="1" x14ac:dyDescent="0.25">
      <c r="A49" s="262">
        <v>8</v>
      </c>
      <c r="B49" s="249" t="s">
        <v>132</v>
      </c>
      <c r="C49" s="249" t="s">
        <v>255</v>
      </c>
      <c r="D49" s="249" t="s">
        <v>258</v>
      </c>
      <c r="E49" s="265" t="s">
        <v>257</v>
      </c>
      <c r="F49" s="249" t="s">
        <v>122</v>
      </c>
      <c r="G49" s="252">
        <v>5000</v>
      </c>
      <c r="H49" s="227" t="str">
        <f>IF(G49&lt;=0,"",IF(G49&lt;=2,"Muy Baja",IF(G49&lt;=24,"Baja",IF(G49&lt;=500,"Media",IF(G49&lt;=5000,"Alta","Muy Alta")))))</f>
        <v>Alta</v>
      </c>
      <c r="I49" s="230">
        <f t="shared" ref="I49" si="45">IF(H49="","",IF(H49="Muy Baja",0.2,IF(H49="Baja",0.4,IF(H49="Media",0.6,IF(H49="Alta",0.8,IF(H49="Muy Alta",1,))))))</f>
        <v>0.8</v>
      </c>
      <c r="J49" s="255" t="s">
        <v>151</v>
      </c>
      <c r="K49" s="230" t="str">
        <f>IF(NOT(ISERROR(MATCH(J49,'Tabla Impacto'!$B$221:$B$223,0))),'Tabla Impacto'!$F$223&amp;"Por favor no seleccionar los criterios de impacto(Afectación Económica o presupuestal y Pérdida Reputacional)",J49)</f>
        <v xml:space="preserve">     El riesgo afecta la imagen de la entidad internamente, de conocimiento general, nivel interno, de junta dircetiva y accionistas y/o de provedores</v>
      </c>
      <c r="L49" s="228" t="str">
        <f>IF(OR(K49='Tabla Impacto'!$C$11,K49='Tabla Impacto'!$D$11),"Leve",IF(OR(K49='Tabla Impacto'!$C$12,K49='Tabla Impacto'!$D$12),"Menor",IF(OR(K49='Tabla Impacto'!$C$13,K49='Tabla Impacto'!$D$13),"Moderado",IF(OR(K49='Tabla Impacto'!$C$14,K49='Tabla Impacto'!$D$14),"Mayor",IF(OR(K49='Tabla Impacto'!$C$15,K49='Tabla Impacto'!$D$15),"Catastrófico","")))))</f>
        <v>Menor</v>
      </c>
      <c r="M49" s="230">
        <f t="shared" ref="M49" si="46">IF(L49="","",IF(L49="Leve",0.2,IF(L49="Menor",0.4,IF(L49="Moderado",0.6,IF(L49="Mayor",0.8,IF(L49="Catastrófico",1,))))))</f>
        <v>0.4</v>
      </c>
      <c r="N49" s="239" t="str">
        <f t="shared" ref="N49" si="47">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Moderado</v>
      </c>
      <c r="O49" s="6">
        <v>1</v>
      </c>
      <c r="P49" s="153" t="s">
        <v>259</v>
      </c>
      <c r="Q49" s="138" t="str">
        <f t="shared" si="41"/>
        <v>Probabilidad</v>
      </c>
      <c r="R49" s="139" t="s">
        <v>14</v>
      </c>
      <c r="S49" s="139" t="s">
        <v>10</v>
      </c>
      <c r="T49" s="140" t="str">
        <f t="shared" si="37"/>
        <v>50%</v>
      </c>
      <c r="U49" s="139" t="s">
        <v>19</v>
      </c>
      <c r="V49" s="139" t="s">
        <v>22</v>
      </c>
      <c r="W49" s="139" t="s">
        <v>118</v>
      </c>
      <c r="X49" s="141">
        <f t="shared" ref="X49" si="48">IFERROR(IF(Q49="Probabilidad",(I49-(+I49*T49)),IF(Q49="Impacto",I49,"")),"")</f>
        <v>0.4</v>
      </c>
      <c r="Y49" s="142" t="str">
        <f t="shared" si="1"/>
        <v>Baja</v>
      </c>
      <c r="Z49" s="143">
        <f t="shared" si="38"/>
        <v>0.4</v>
      </c>
      <c r="AA49" s="142" t="str">
        <f t="shared" si="3"/>
        <v>Menor</v>
      </c>
      <c r="AB49" s="143">
        <f t="shared" ref="AB49" si="49">IFERROR(IF(Q49="Impacto",(M49-(+M49*T49)),IF(Q49="Probabilidad",M49,"")),"")</f>
        <v>0.4</v>
      </c>
      <c r="AC49" s="144" t="str">
        <f t="shared" si="44"/>
        <v>Moderado</v>
      </c>
      <c r="AD49" s="145" t="s">
        <v>32</v>
      </c>
      <c r="AE49" s="183" t="s">
        <v>274</v>
      </c>
      <c r="AF49" s="146" t="s">
        <v>213</v>
      </c>
      <c r="AG49" s="183" t="s">
        <v>254</v>
      </c>
      <c r="AH49" s="147">
        <v>44927</v>
      </c>
      <c r="AI49" s="152" t="s">
        <v>260</v>
      </c>
      <c r="AJ49" s="183" t="s">
        <v>275</v>
      </c>
      <c r="AK49" s="148" t="s">
        <v>40</v>
      </c>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151.5" hidden="1" customHeight="1" x14ac:dyDescent="0.25">
      <c r="A50" s="263"/>
      <c r="B50" s="250"/>
      <c r="C50" s="250"/>
      <c r="D50" s="250"/>
      <c r="E50" s="266"/>
      <c r="F50" s="250"/>
      <c r="G50" s="253"/>
      <c r="H50" s="228"/>
      <c r="I50" s="231"/>
      <c r="J50" s="256"/>
      <c r="K50" s="231">
        <f t="shared" ref="K50:K51" si="50">IF(NOT(ISERROR(MATCH(J50,_xlfn.ANCHORARRAY(E61),0))),I63&amp;"Por favor no seleccionar los criterios de impacto",J50)</f>
        <v>0</v>
      </c>
      <c r="L50" s="228"/>
      <c r="M50" s="231"/>
      <c r="N50" s="240"/>
      <c r="O50" s="6">
        <v>5</v>
      </c>
      <c r="P50" s="123"/>
      <c r="Q50" s="124" t="str">
        <f t="shared" si="41"/>
        <v/>
      </c>
      <c r="R50" s="125"/>
      <c r="S50" s="125"/>
      <c r="T50" s="126" t="str">
        <f t="shared" si="37"/>
        <v/>
      </c>
      <c r="U50" s="125"/>
      <c r="V50" s="125"/>
      <c r="W50" s="125"/>
      <c r="X50" s="127" t="str">
        <f>IFERROR(IF(AND(#REF!="Probabilidad",Q50="Probabilidad"),(#REF!-(+#REF!*T50)),IF(AND(#REF!="Impacto",Q50="Probabilidad"),(#REF!-(+#REF!*T50)),IF(Q50="Impacto",#REF!,""))),"")</f>
        <v/>
      </c>
      <c r="Y50" s="128" t="str">
        <f t="shared" ref="Y50:Y54" si="51">IFERROR(IF(X50="","",IF(X50&lt;=0.2,"Muy Baja",IF(X50&lt;=0.4,"Baja",IF(X50&lt;=0.6,"Media",IF(X50&lt;=0.8,"Alta","Muy Alta"))))),"")</f>
        <v/>
      </c>
      <c r="Z50" s="129" t="str">
        <f t="shared" si="38"/>
        <v/>
      </c>
      <c r="AA50" s="128" t="str">
        <f t="shared" ref="AA50:AA54" si="52">IFERROR(IF(AB50="","",IF(AB50&lt;=0.2,"Leve",IF(AB50&lt;=0.4,"Menor",IF(AB50&lt;=0.6,"Moderado",IF(AB50&lt;=0.8,"Mayor","Catastrófico"))))),"")</f>
        <v/>
      </c>
      <c r="AB50" s="129" t="str">
        <f>IFERROR(IF(AND(#REF!="Impacto",Q50="Impacto"),(#REF!-(+#REF!*T50)),IF(AND(#REF!="Probabilidad",Q50="Impacto"),(#REF!-(+#REF!*T50)),IF(Q50="Probabilidad",#REF!,""))),"")</f>
        <v/>
      </c>
      <c r="AC50" s="130" t="str">
        <f t="shared" si="44"/>
        <v/>
      </c>
      <c r="AD50" s="131"/>
      <c r="AE50" s="132"/>
      <c r="AF50" s="132"/>
      <c r="AG50" s="133"/>
      <c r="AH50" s="134"/>
      <c r="AI50" s="134"/>
      <c r="AJ50" s="132"/>
      <c r="AK50" s="133"/>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151.5" hidden="1" customHeight="1" x14ac:dyDescent="0.25">
      <c r="A51" s="263"/>
      <c r="B51" s="251"/>
      <c r="C51" s="251"/>
      <c r="D51" s="251"/>
      <c r="E51" s="267"/>
      <c r="F51" s="251"/>
      <c r="G51" s="254"/>
      <c r="H51" s="229"/>
      <c r="I51" s="232"/>
      <c r="J51" s="257"/>
      <c r="K51" s="232">
        <f t="shared" si="50"/>
        <v>0</v>
      </c>
      <c r="L51" s="229"/>
      <c r="M51" s="232"/>
      <c r="N51" s="241"/>
      <c r="O51" s="6">
        <v>6</v>
      </c>
      <c r="P51" s="123"/>
      <c r="Q51" s="124" t="str">
        <f t="shared" si="41"/>
        <v/>
      </c>
      <c r="R51" s="125"/>
      <c r="S51" s="125"/>
      <c r="T51" s="126" t="str">
        <f t="shared" si="37"/>
        <v/>
      </c>
      <c r="U51" s="125"/>
      <c r="V51" s="125"/>
      <c r="W51" s="125"/>
      <c r="X51" s="127" t="str">
        <f>IFERROR(IF(AND(Q50="Probabilidad",Q51="Probabilidad"),(Z50-(+Z50*T51)),IF(AND(Q50="Impacto",Q51="Probabilidad"),(#REF!-(+#REF!*T51)),IF(Q51="Impacto",Z50,""))),"")</f>
        <v/>
      </c>
      <c r="Y51" s="128" t="str">
        <f t="shared" si="51"/>
        <v/>
      </c>
      <c r="Z51" s="129" t="str">
        <f t="shared" si="38"/>
        <v/>
      </c>
      <c r="AA51" s="128" t="str">
        <f t="shared" si="52"/>
        <v/>
      </c>
      <c r="AB51" s="129" t="str">
        <f>IFERROR(IF(AND(Q50="Impacto",Q51="Impacto"),(AB50-(+AB50*T51)),IF(AND(Q50="Probabilidad",Q51="Impacto"),(#REF!-(+#REF!*T51)),IF(Q51="Probabilidad",AB50,""))),"")</f>
        <v/>
      </c>
      <c r="AC51" s="130" t="str">
        <f t="shared" si="44"/>
        <v/>
      </c>
      <c r="AD51" s="131"/>
      <c r="AE51" s="132"/>
      <c r="AF51" s="132"/>
      <c r="AG51" s="133"/>
      <c r="AH51" s="134"/>
      <c r="AI51" s="134"/>
      <c r="AJ51" s="132"/>
      <c r="AK51" s="133"/>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151.5" hidden="1" customHeight="1" x14ac:dyDescent="0.25">
      <c r="A52" s="263"/>
      <c r="B52" s="249" t="s">
        <v>132</v>
      </c>
      <c r="C52" s="249" t="s">
        <v>217</v>
      </c>
      <c r="D52" s="249" t="s">
        <v>229</v>
      </c>
      <c r="E52" s="265" t="s">
        <v>219</v>
      </c>
      <c r="F52" s="249" t="s">
        <v>122</v>
      </c>
      <c r="G52" s="252">
        <v>12</v>
      </c>
      <c r="H52" s="227" t="str">
        <f t="shared" ref="H52" si="53">IF(G52&lt;=0,"",IF(G52&lt;=2,"Muy Baja",IF(G52&lt;=24,"Baja",IF(G52&lt;=500,"Media",IF(G52&lt;=5000,"Alta","Muy Alta")))))</f>
        <v>Baja</v>
      </c>
      <c r="I52" s="230">
        <f t="shared" ref="I52" si="54">IF(H52="","",IF(H52="Muy Baja",0.2,IF(H52="Baja",0.4,IF(H52="Media",0.6,IF(H52="Alta",0.8,IF(H52="Muy Alta",1,))))))</f>
        <v>0.4</v>
      </c>
      <c r="J52" s="255" t="s">
        <v>154</v>
      </c>
      <c r="K52" s="230" t="str">
        <f>IF(NOT(ISERROR(MATCH(J52,'Tabla Impacto'!$B$221:$B$223,0))),'Tabla Impacto'!$F$223&amp;"Por favor no seleccionar los criterios de impacto(Afectación Económica o presupuestal y Pérdida Reputacional)",J52)</f>
        <v xml:space="preserve">     El riesgo afecta la imagen de la entidad a nivel nacional, con efecto publicitarios sostenible a nivel país</v>
      </c>
      <c r="L52" s="227" t="str">
        <f>IF(OR(K52='Tabla Impacto'!$C$11,K52='Tabla Impacto'!$D$11),"Leve",IF(OR(K52='Tabla Impacto'!$C$12,K52='Tabla Impacto'!$D$12),"Menor",IF(OR(K52='Tabla Impacto'!$C$13,K52='Tabla Impacto'!$D$13),"Moderado",IF(OR(K52='Tabla Impacto'!$C$14,K52='Tabla Impacto'!$D$14),"Mayor",IF(OR(K52='Tabla Impacto'!$C$15,K52='Tabla Impacto'!$D$15),"Catastrófico","")))))</f>
        <v>Catastrófico</v>
      </c>
      <c r="M52" s="230">
        <f t="shared" ref="M52" si="55">IF(L52="","",IF(L52="Leve",0.2,IF(L52="Menor",0.4,IF(L52="Moderado",0.6,IF(L52="Mayor",0.8,IF(L52="Catastrófico",1,))))))</f>
        <v>1</v>
      </c>
      <c r="N52" s="239" t="str">
        <f t="shared" ref="N52" si="56">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Extremo</v>
      </c>
      <c r="O52" s="6">
        <v>1</v>
      </c>
      <c r="P52" s="153" t="s">
        <v>226</v>
      </c>
      <c r="Q52" s="138" t="str">
        <f t="shared" si="41"/>
        <v>Probabilidad</v>
      </c>
      <c r="R52" s="139" t="s">
        <v>14</v>
      </c>
      <c r="S52" s="139" t="s">
        <v>10</v>
      </c>
      <c r="T52" s="140" t="str">
        <f t="shared" si="37"/>
        <v>50%</v>
      </c>
      <c r="U52" s="139" t="s">
        <v>19</v>
      </c>
      <c r="V52" s="139" t="s">
        <v>22</v>
      </c>
      <c r="W52" s="139" t="s">
        <v>118</v>
      </c>
      <c r="X52" s="141">
        <f t="shared" ref="X52" si="57">IFERROR(IF(Q52="Probabilidad",(I52-(+I52*T52)),IF(Q52="Impacto",I52,"")),"")</f>
        <v>0.2</v>
      </c>
      <c r="Y52" s="142" t="str">
        <f t="shared" si="51"/>
        <v>Muy Baja</v>
      </c>
      <c r="Z52" s="143">
        <f t="shared" si="38"/>
        <v>0.2</v>
      </c>
      <c r="AA52" s="142" t="str">
        <f t="shared" si="52"/>
        <v>Catastrófico</v>
      </c>
      <c r="AB52" s="143">
        <f t="shared" ref="AB52" si="58">IFERROR(IF(Q52="Impacto",(M52-(+M52*T52)),IF(Q52="Probabilidad",M52,"")),"")</f>
        <v>1</v>
      </c>
      <c r="AC52" s="144" t="str">
        <f t="shared" si="44"/>
        <v>Extremo</v>
      </c>
      <c r="AD52" s="145"/>
      <c r="AE52" s="146" t="s">
        <v>220</v>
      </c>
      <c r="AF52" s="146" t="s">
        <v>213</v>
      </c>
      <c r="AG52" s="146" t="s">
        <v>218</v>
      </c>
      <c r="AH52" s="147">
        <v>44927</v>
      </c>
      <c r="AI52" s="152" t="s">
        <v>227</v>
      </c>
      <c r="AJ52" s="146" t="s">
        <v>228</v>
      </c>
      <c r="AK52" s="148" t="s">
        <v>40</v>
      </c>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151.5" hidden="1" customHeight="1" x14ac:dyDescent="0.25">
      <c r="A53" s="263"/>
      <c r="B53" s="250"/>
      <c r="C53" s="250"/>
      <c r="D53" s="250"/>
      <c r="E53" s="266"/>
      <c r="F53" s="250"/>
      <c r="G53" s="253"/>
      <c r="H53" s="228"/>
      <c r="I53" s="231"/>
      <c r="J53" s="256"/>
      <c r="K53" s="231">
        <f t="shared" ref="K53:K54" si="59">IF(NOT(ISERROR(MATCH(J53,_xlfn.ANCHORARRAY(E64),0))),I66&amp;"Por favor no seleccionar los criterios de impacto",J53)</f>
        <v>0</v>
      </c>
      <c r="L53" s="228"/>
      <c r="M53" s="231"/>
      <c r="N53" s="240"/>
      <c r="O53" s="6">
        <v>5</v>
      </c>
      <c r="P53" s="123"/>
      <c r="Q53" s="124" t="str">
        <f t="shared" si="41"/>
        <v/>
      </c>
      <c r="R53" s="125"/>
      <c r="S53" s="125"/>
      <c r="T53" s="126" t="str">
        <f t="shared" si="37"/>
        <v/>
      </c>
      <c r="U53" s="125"/>
      <c r="V53" s="125"/>
      <c r="W53" s="125"/>
      <c r="X53" s="127" t="str">
        <f>IFERROR(IF(AND(#REF!="Probabilidad",Q53="Probabilidad"),(#REF!-(+#REF!*T53)),IF(AND(#REF!="Impacto",Q53="Probabilidad"),(#REF!-(+#REF!*T53)),IF(Q53="Impacto",#REF!,""))),"")</f>
        <v/>
      </c>
      <c r="Y53" s="128" t="str">
        <f t="shared" si="51"/>
        <v/>
      </c>
      <c r="Z53" s="129" t="str">
        <f t="shared" si="38"/>
        <v/>
      </c>
      <c r="AA53" s="128" t="str">
        <f t="shared" si="52"/>
        <v/>
      </c>
      <c r="AB53" s="129" t="str">
        <f>IFERROR(IF(AND(#REF!="Impacto",Q53="Impacto"),(#REF!-(+#REF!*T53)),IF(AND(#REF!="Probabilidad",Q53="Impacto"),(#REF!-(+#REF!*T53)),IF(Q53="Probabilidad",#REF!,""))),"")</f>
        <v/>
      </c>
      <c r="AC53" s="130" t="str">
        <f t="shared" si="44"/>
        <v/>
      </c>
      <c r="AD53" s="131"/>
      <c r="AE53" s="132"/>
      <c r="AF53" s="132"/>
      <c r="AG53" s="133"/>
      <c r="AH53" s="134"/>
      <c r="AI53" s="134"/>
      <c r="AJ53" s="132"/>
      <c r="AK53" s="133"/>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t="151.5" hidden="1" customHeight="1" x14ac:dyDescent="0.25">
      <c r="A54" s="264"/>
      <c r="B54" s="251"/>
      <c r="C54" s="251"/>
      <c r="D54" s="251"/>
      <c r="E54" s="267"/>
      <c r="F54" s="251"/>
      <c r="G54" s="254"/>
      <c r="H54" s="229"/>
      <c r="I54" s="232"/>
      <c r="J54" s="257"/>
      <c r="K54" s="232">
        <f t="shared" si="59"/>
        <v>0</v>
      </c>
      <c r="L54" s="229"/>
      <c r="M54" s="232"/>
      <c r="N54" s="241"/>
      <c r="O54" s="6">
        <v>6</v>
      </c>
      <c r="P54" s="123"/>
      <c r="Q54" s="124" t="str">
        <f t="shared" si="41"/>
        <v/>
      </c>
      <c r="R54" s="125"/>
      <c r="S54" s="125"/>
      <c r="T54" s="126" t="str">
        <f t="shared" si="37"/>
        <v/>
      </c>
      <c r="U54" s="125"/>
      <c r="V54" s="125"/>
      <c r="W54" s="125"/>
      <c r="X54" s="127" t="str">
        <f>IFERROR(IF(AND(Q53="Probabilidad",Q54="Probabilidad"),(Z53-(+Z53*T54)),IF(AND(Q53="Impacto",Q54="Probabilidad"),(#REF!-(+#REF!*T54)),IF(Q54="Impacto",Z53,""))),"")</f>
        <v/>
      </c>
      <c r="Y54" s="128" t="str">
        <f t="shared" si="51"/>
        <v/>
      </c>
      <c r="Z54" s="129" t="str">
        <f t="shared" si="38"/>
        <v/>
      </c>
      <c r="AA54" s="128" t="str">
        <f t="shared" si="52"/>
        <v/>
      </c>
      <c r="AB54" s="129" t="str">
        <f>IFERROR(IF(AND(Q53="Impacto",Q54="Impacto"),(AB53-(+AB53*T54)),IF(AND(Q53="Probabilidad",Q54="Impacto"),(#REF!-(+#REF!*T54)),IF(Q54="Probabilidad",AB53,""))),"")</f>
        <v/>
      </c>
      <c r="AC54" s="130" t="str">
        <f t="shared" si="44"/>
        <v/>
      </c>
      <c r="AD54" s="131"/>
      <c r="AE54" s="132"/>
      <c r="AF54" s="132"/>
      <c r="AG54" s="133"/>
      <c r="AH54" s="134"/>
      <c r="AI54" s="134"/>
      <c r="AJ54" s="132"/>
      <c r="AK54" s="133"/>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151.5" hidden="1" customHeight="1" x14ac:dyDescent="0.25">
      <c r="A55" s="262">
        <v>9</v>
      </c>
      <c r="B55" s="249" t="s">
        <v>132</v>
      </c>
      <c r="C55" s="249"/>
      <c r="D55" s="282"/>
      <c r="E55" s="265"/>
      <c r="F55" s="249"/>
      <c r="G55" s="273"/>
      <c r="H55" s="270"/>
      <c r="I55" s="245"/>
      <c r="J55" s="255"/>
      <c r="K55" s="245"/>
      <c r="L55" s="270"/>
      <c r="M55" s="245"/>
      <c r="N55" s="279"/>
      <c r="O55" s="122">
        <v>1</v>
      </c>
      <c r="P55" s="149"/>
      <c r="Q55" s="124"/>
      <c r="R55" s="125"/>
      <c r="S55" s="125"/>
      <c r="T55" s="126"/>
      <c r="U55" s="125"/>
      <c r="V55" s="125"/>
      <c r="W55" s="125"/>
      <c r="X55" s="127"/>
      <c r="Y55" s="128"/>
      <c r="Z55" s="129"/>
      <c r="AA55" s="128"/>
      <c r="AB55" s="129"/>
      <c r="AC55" s="130"/>
      <c r="AD55" s="131"/>
      <c r="AE55" s="132"/>
      <c r="AF55" s="146"/>
      <c r="AG55" s="146"/>
      <c r="AH55" s="147"/>
      <c r="AI55" s="147"/>
      <c r="AJ55" s="132"/>
      <c r="AK55" s="133"/>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151.5" hidden="1" customHeight="1" x14ac:dyDescent="0.25">
      <c r="A56" s="263"/>
      <c r="B56" s="250"/>
      <c r="C56" s="250"/>
      <c r="D56" s="283"/>
      <c r="E56" s="266"/>
      <c r="F56" s="250"/>
      <c r="G56" s="274"/>
      <c r="H56" s="271"/>
      <c r="I56" s="246"/>
      <c r="J56" s="256"/>
      <c r="K56" s="246"/>
      <c r="L56" s="271"/>
      <c r="M56" s="246"/>
      <c r="N56" s="280"/>
      <c r="O56" s="122"/>
      <c r="P56" s="149"/>
      <c r="Q56" s="124"/>
      <c r="R56" s="125"/>
      <c r="S56" s="125"/>
      <c r="T56" s="126"/>
      <c r="U56" s="125"/>
      <c r="V56" s="125"/>
      <c r="W56" s="125"/>
      <c r="X56" s="127"/>
      <c r="Y56" s="128"/>
      <c r="Z56" s="129"/>
      <c r="AA56" s="128"/>
      <c r="AB56" s="129"/>
      <c r="AC56" s="130"/>
      <c r="AD56" s="131"/>
      <c r="AE56" s="132"/>
      <c r="AF56" s="132"/>
      <c r="AG56" s="133"/>
      <c r="AH56" s="134"/>
      <c r="AI56" s="134"/>
      <c r="AJ56" s="132"/>
      <c r="AK56" s="133"/>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151.5" hidden="1" customHeight="1" x14ac:dyDescent="0.25">
      <c r="A57" s="263"/>
      <c r="B57" s="250"/>
      <c r="C57" s="250"/>
      <c r="D57" s="283"/>
      <c r="E57" s="266"/>
      <c r="F57" s="250"/>
      <c r="G57" s="274"/>
      <c r="H57" s="271"/>
      <c r="I57" s="246"/>
      <c r="J57" s="256"/>
      <c r="K57" s="246"/>
      <c r="L57" s="271"/>
      <c r="M57" s="246"/>
      <c r="N57" s="280"/>
      <c r="O57" s="122"/>
      <c r="P57" s="148"/>
      <c r="Q57" s="124"/>
      <c r="R57" s="125"/>
      <c r="S57" s="125"/>
      <c r="T57" s="126"/>
      <c r="U57" s="125"/>
      <c r="V57" s="125"/>
      <c r="W57" s="125"/>
      <c r="X57" s="127"/>
      <c r="Y57" s="128"/>
      <c r="Z57" s="129"/>
      <c r="AA57" s="128"/>
      <c r="AB57" s="129"/>
      <c r="AC57" s="130"/>
      <c r="AD57" s="131"/>
      <c r="AE57" s="132"/>
      <c r="AF57" s="132"/>
      <c r="AG57" s="133"/>
      <c r="AH57" s="134"/>
      <c r="AI57" s="134"/>
      <c r="AJ57" s="132"/>
      <c r="AK57" s="133"/>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151.5" hidden="1" customHeight="1" x14ac:dyDescent="0.25">
      <c r="A58" s="263"/>
      <c r="B58" s="250"/>
      <c r="C58" s="250"/>
      <c r="D58" s="283"/>
      <c r="E58" s="266"/>
      <c r="F58" s="250"/>
      <c r="G58" s="274"/>
      <c r="H58" s="271"/>
      <c r="I58" s="246"/>
      <c r="J58" s="256"/>
      <c r="K58" s="246"/>
      <c r="L58" s="271"/>
      <c r="M58" s="246"/>
      <c r="N58" s="280"/>
      <c r="O58" s="122"/>
      <c r="P58" s="149"/>
      <c r="Q58" s="124"/>
      <c r="R58" s="125"/>
      <c r="S58" s="125"/>
      <c r="T58" s="126"/>
      <c r="U58" s="125"/>
      <c r="V58" s="125"/>
      <c r="W58" s="125"/>
      <c r="X58" s="127"/>
      <c r="Y58" s="128"/>
      <c r="Z58" s="129"/>
      <c r="AA58" s="128"/>
      <c r="AB58" s="129"/>
      <c r="AC58" s="130"/>
      <c r="AD58" s="131"/>
      <c r="AE58" s="132"/>
      <c r="AF58" s="132"/>
      <c r="AG58" s="133"/>
      <c r="AH58" s="134"/>
      <c r="AI58" s="134"/>
      <c r="AJ58" s="132"/>
      <c r="AK58" s="133"/>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151.5" hidden="1" customHeight="1" x14ac:dyDescent="0.25">
      <c r="A59" s="263"/>
      <c r="B59" s="250"/>
      <c r="C59" s="250"/>
      <c r="D59" s="283"/>
      <c r="E59" s="266"/>
      <c r="F59" s="250"/>
      <c r="G59" s="274"/>
      <c r="H59" s="271"/>
      <c r="I59" s="246"/>
      <c r="J59" s="256"/>
      <c r="K59" s="246"/>
      <c r="L59" s="271"/>
      <c r="M59" s="246"/>
      <c r="N59" s="280"/>
      <c r="O59" s="122"/>
      <c r="P59" s="149"/>
      <c r="Q59" s="124"/>
      <c r="R59" s="125"/>
      <c r="S59" s="125"/>
      <c r="T59" s="126"/>
      <c r="U59" s="125"/>
      <c r="V59" s="125"/>
      <c r="W59" s="125"/>
      <c r="X59" s="127"/>
      <c r="Y59" s="128"/>
      <c r="Z59" s="129"/>
      <c r="AA59" s="128"/>
      <c r="AB59" s="129"/>
      <c r="AC59" s="130"/>
      <c r="AD59" s="131"/>
      <c r="AE59" s="132"/>
      <c r="AF59" s="132"/>
      <c r="AG59" s="133"/>
      <c r="AH59" s="134"/>
      <c r="AI59" s="134"/>
      <c r="AJ59" s="132"/>
      <c r="AK59" s="133"/>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t="151.5" hidden="1" customHeight="1" x14ac:dyDescent="0.25">
      <c r="A60" s="264"/>
      <c r="B60" s="251"/>
      <c r="C60" s="251"/>
      <c r="D60" s="284"/>
      <c r="E60" s="267"/>
      <c r="F60" s="251"/>
      <c r="G60" s="275"/>
      <c r="H60" s="272"/>
      <c r="I60" s="247"/>
      <c r="J60" s="257"/>
      <c r="K60" s="247"/>
      <c r="L60" s="272"/>
      <c r="M60" s="247"/>
      <c r="N60" s="281"/>
      <c r="O60" s="122"/>
      <c r="P60" s="149"/>
      <c r="Q60" s="124"/>
      <c r="R60" s="125"/>
      <c r="S60" s="125"/>
      <c r="T60" s="126"/>
      <c r="U60" s="125"/>
      <c r="V60" s="125"/>
      <c r="W60" s="125"/>
      <c r="X60" s="127"/>
      <c r="Y60" s="128"/>
      <c r="Z60" s="129"/>
      <c r="AA60" s="128"/>
      <c r="AB60" s="129"/>
      <c r="AC60" s="130"/>
      <c r="AD60" s="131"/>
      <c r="AE60" s="132"/>
      <c r="AF60" s="132"/>
      <c r="AG60" s="133"/>
      <c r="AH60" s="134"/>
      <c r="AI60" s="134"/>
      <c r="AJ60" s="132"/>
      <c r="AK60" s="133"/>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ht="151.5" hidden="1" customHeight="1" x14ac:dyDescent="0.25">
      <c r="A61" s="262">
        <v>10</v>
      </c>
      <c r="B61" s="249" t="s">
        <v>132</v>
      </c>
      <c r="C61" s="249"/>
      <c r="D61" s="282"/>
      <c r="E61" s="265"/>
      <c r="F61" s="249"/>
      <c r="G61" s="273"/>
      <c r="H61" s="270" t="str">
        <f>IF(G61&lt;=0,"",IF(G61&lt;=2,"Muy Baja",IF(G61&lt;=24,"Baja",IF(G61&lt;=500,"Media",IF(G61&lt;=5000,"Alta","Muy Alta")))))</f>
        <v/>
      </c>
      <c r="I61" s="245" t="str">
        <f>IF(H61="","",IF(H61="Muy Baja",0.2,IF(H61="Baja",0.4,IF(H61="Media",0.6,IF(H61="Alta",0.8,IF(H61="Muy Alta",1,))))))</f>
        <v/>
      </c>
      <c r="J61" s="255"/>
      <c r="K61" s="245">
        <f>IF(NOT(ISERROR(MATCH(J61,'Tabla Impacto'!$B$221:$B$223,0))),'Tabla Impacto'!$F$223&amp;"Por favor no seleccionar los criterios de impacto(Afectación Económica o presupuestal y Pérdida Reputacional)",J61)</f>
        <v>0</v>
      </c>
      <c r="L61" s="270" t="str">
        <f>IF(OR(K61='Tabla Impacto'!$C$11,K61='Tabla Impacto'!$D$11),"Leve",IF(OR(K61='Tabla Impacto'!$C$12,K61='Tabla Impacto'!$D$12),"Menor",IF(OR(K61='Tabla Impacto'!$C$13,K61='Tabla Impacto'!$D$13),"Moderado",IF(OR(K61='Tabla Impacto'!$C$14,K61='Tabla Impacto'!$D$14),"Mayor",IF(OR(K61='Tabla Impacto'!$C$15,K61='Tabla Impacto'!$D$15),"Catastrófico","")))))</f>
        <v/>
      </c>
      <c r="M61" s="245" t="str">
        <f>IF(L61="","",IF(L61="Leve",0.2,IF(L61="Menor",0.4,IF(L61="Moderado",0.6,IF(L61="Mayor",0.8,IF(L61="Catastrófico",1,))))))</f>
        <v/>
      </c>
      <c r="N61" s="279" t="str">
        <f>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
      </c>
      <c r="O61" s="122">
        <v>1</v>
      </c>
      <c r="P61" s="149"/>
      <c r="Q61" s="124"/>
      <c r="R61" s="125"/>
      <c r="S61" s="125"/>
      <c r="T61" s="126"/>
      <c r="U61" s="125"/>
      <c r="V61" s="125"/>
      <c r="W61" s="125"/>
      <c r="X61" s="127"/>
      <c r="Y61" s="128"/>
      <c r="Z61" s="129"/>
      <c r="AA61" s="128"/>
      <c r="AB61" s="129"/>
      <c r="AC61" s="130"/>
      <c r="AD61" s="131"/>
      <c r="AE61" s="132"/>
      <c r="AF61" s="146"/>
      <c r="AG61" s="133"/>
      <c r="AH61" s="134"/>
      <c r="AI61" s="134"/>
      <c r="AJ61" s="132"/>
      <c r="AK61" s="133"/>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ht="151.5" hidden="1" customHeight="1" x14ac:dyDescent="0.25">
      <c r="A62" s="263"/>
      <c r="B62" s="250"/>
      <c r="C62" s="250"/>
      <c r="D62" s="283"/>
      <c r="E62" s="266"/>
      <c r="F62" s="250"/>
      <c r="G62" s="274"/>
      <c r="H62" s="271"/>
      <c r="I62" s="246"/>
      <c r="J62" s="256"/>
      <c r="K62" s="246">
        <f>IF(NOT(ISERROR(MATCH(J62,_xlfn.ANCHORARRAY(E73),0))),I75&amp;"Por favor no seleccionar los criterios de impacto",J62)</f>
        <v>0</v>
      </c>
      <c r="L62" s="271"/>
      <c r="M62" s="246"/>
      <c r="N62" s="280"/>
      <c r="O62" s="122">
        <v>2</v>
      </c>
      <c r="P62" s="123"/>
      <c r="Q62" s="124" t="str">
        <f>IF(OR(R62="Preventivo",R62="Detectivo"),"Probabilidad",IF(R62="Correctivo","Impacto",""))</f>
        <v/>
      </c>
      <c r="R62" s="125"/>
      <c r="S62" s="125"/>
      <c r="T62" s="126" t="str">
        <f t="shared" ref="T62:T66" si="60">IF(AND(R62="Preventivo",S62="Automático"),"50%",IF(AND(R62="Preventivo",S62="Manual"),"40%",IF(AND(R62="Detectivo",S62="Automático"),"40%",IF(AND(R62="Detectivo",S62="Manual"),"30%",IF(AND(R62="Correctivo",S62="Automático"),"35%",IF(AND(R62="Correctivo",S62="Manual"),"25%",""))))))</f>
        <v/>
      </c>
      <c r="U62" s="125"/>
      <c r="V62" s="125"/>
      <c r="W62" s="125"/>
      <c r="X62" s="127" t="str">
        <f>IFERROR(IF(AND(Q61="Probabilidad",Q62="Probabilidad"),(Z61-(+Z61*T62)),IF(Q62="Probabilidad",(I61-(+I61*T62)),IF(Q62="Impacto",Z61,""))),"")</f>
        <v/>
      </c>
      <c r="Y62" s="128" t="str">
        <f t="shared" si="1"/>
        <v/>
      </c>
      <c r="Z62" s="129" t="str">
        <f t="shared" ref="Z62:Z66" si="61">+X62</f>
        <v/>
      </c>
      <c r="AA62" s="128" t="str">
        <f t="shared" si="3"/>
        <v/>
      </c>
      <c r="AB62" s="129" t="str">
        <f>IFERROR(IF(AND(Q61="Impacto",Q62="Impacto"),(AB61-(+AB61*T62)),IF(Q62="Impacto",(M61-(+M61*T62)),IF(Q62="Probabilidad",AB61,""))),"")</f>
        <v/>
      </c>
      <c r="AC62" s="130" t="str">
        <f t="shared" ref="AC62:AC63" si="62">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1"/>
      <c r="AE62" s="132"/>
      <c r="AF62" s="132"/>
      <c r="AG62" s="133"/>
      <c r="AH62" s="134"/>
      <c r="AI62" s="134"/>
      <c r="AJ62" s="132"/>
      <c r="AK62" s="133"/>
    </row>
    <row r="63" spans="1:69" ht="151.5" hidden="1" customHeight="1" x14ac:dyDescent="0.25">
      <c r="A63" s="263"/>
      <c r="B63" s="250"/>
      <c r="C63" s="250"/>
      <c r="D63" s="283"/>
      <c r="E63" s="266"/>
      <c r="F63" s="250"/>
      <c r="G63" s="274"/>
      <c r="H63" s="271"/>
      <c r="I63" s="246"/>
      <c r="J63" s="256"/>
      <c r="K63" s="246">
        <f>IF(NOT(ISERROR(MATCH(J63,_xlfn.ANCHORARRAY(E74),0))),I76&amp;"Por favor no seleccionar los criterios de impacto",J63)</f>
        <v>0</v>
      </c>
      <c r="L63" s="271"/>
      <c r="M63" s="246"/>
      <c r="N63" s="280"/>
      <c r="O63" s="122">
        <v>3</v>
      </c>
      <c r="P63" s="135"/>
      <c r="Q63" s="124" t="str">
        <f>IF(OR(R63="Preventivo",R63="Detectivo"),"Probabilidad",IF(R63="Correctivo","Impacto",""))</f>
        <v/>
      </c>
      <c r="R63" s="125"/>
      <c r="S63" s="125"/>
      <c r="T63" s="126" t="str">
        <f t="shared" si="60"/>
        <v/>
      </c>
      <c r="U63" s="125"/>
      <c r="V63" s="125"/>
      <c r="W63" s="125"/>
      <c r="X63" s="127" t="str">
        <f>IFERROR(IF(AND(Q62="Probabilidad",Q63="Probabilidad"),(Z62-(+Z62*T63)),IF(AND(Q62="Impacto",Q63="Probabilidad"),(Z61-(+Z61*T63)),IF(Q63="Impacto",Z62,""))),"")</f>
        <v/>
      </c>
      <c r="Y63" s="128" t="str">
        <f t="shared" si="1"/>
        <v/>
      </c>
      <c r="Z63" s="129" t="str">
        <f t="shared" si="61"/>
        <v/>
      </c>
      <c r="AA63" s="128" t="str">
        <f t="shared" si="3"/>
        <v/>
      </c>
      <c r="AB63" s="129" t="str">
        <f>IFERROR(IF(AND(Q62="Impacto",Q63="Impacto"),(AB62-(+AB62*T63)),IF(AND(Q62="Probabilidad",Q63="Impacto"),(AB61-(+AB61*T63)),IF(Q63="Probabilidad",AB62,""))),"")</f>
        <v/>
      </c>
      <c r="AC63" s="130" t="str">
        <f t="shared" si="62"/>
        <v/>
      </c>
      <c r="AD63" s="131"/>
      <c r="AE63" s="132"/>
      <c r="AF63" s="132"/>
      <c r="AG63" s="133"/>
      <c r="AH63" s="134"/>
      <c r="AI63" s="134"/>
      <c r="AJ63" s="132"/>
      <c r="AK63" s="133"/>
    </row>
    <row r="64" spans="1:69" ht="151.5" hidden="1" customHeight="1" x14ac:dyDescent="0.25">
      <c r="A64" s="263"/>
      <c r="B64" s="250"/>
      <c r="C64" s="250"/>
      <c r="D64" s="283"/>
      <c r="E64" s="266"/>
      <c r="F64" s="250"/>
      <c r="G64" s="274"/>
      <c r="H64" s="271"/>
      <c r="I64" s="246"/>
      <c r="J64" s="256"/>
      <c r="K64" s="246">
        <f>IF(NOT(ISERROR(MATCH(J64,_xlfn.ANCHORARRAY(E75),0))),I77&amp;"Por favor no seleccionar los criterios de impacto",J64)</f>
        <v>0</v>
      </c>
      <c r="L64" s="271"/>
      <c r="M64" s="246"/>
      <c r="N64" s="280"/>
      <c r="O64" s="122">
        <v>4</v>
      </c>
      <c r="P64" s="123"/>
      <c r="Q64" s="124" t="str">
        <f t="shared" ref="Q64:Q66" si="63">IF(OR(R64="Preventivo",R64="Detectivo"),"Probabilidad",IF(R64="Correctivo","Impacto",""))</f>
        <v/>
      </c>
      <c r="R64" s="125"/>
      <c r="S64" s="125"/>
      <c r="T64" s="126" t="str">
        <f t="shared" si="60"/>
        <v/>
      </c>
      <c r="U64" s="125"/>
      <c r="V64" s="125"/>
      <c r="W64" s="125"/>
      <c r="X64" s="127" t="str">
        <f t="shared" ref="X64:X66" si="64">IFERROR(IF(AND(Q63="Probabilidad",Q64="Probabilidad"),(Z63-(+Z63*T64)),IF(AND(Q63="Impacto",Q64="Probabilidad"),(Z62-(+Z62*T64)),IF(Q64="Impacto",Z63,""))),"")</f>
        <v/>
      </c>
      <c r="Y64" s="128" t="str">
        <f t="shared" si="1"/>
        <v/>
      </c>
      <c r="Z64" s="129" t="str">
        <f t="shared" si="61"/>
        <v/>
      </c>
      <c r="AA64" s="128" t="str">
        <f t="shared" si="3"/>
        <v/>
      </c>
      <c r="AB64" s="129" t="str">
        <f t="shared" ref="AB64:AB66" si="65">IFERROR(IF(AND(Q63="Impacto",Q64="Impacto"),(AB63-(+AB63*T64)),IF(AND(Q63="Probabilidad",Q64="Impacto"),(AB62-(+AB62*T64)),IF(Q64="Probabilidad",AB63,""))),"")</f>
        <v/>
      </c>
      <c r="AC64" s="130"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1"/>
      <c r="AE64" s="132"/>
      <c r="AF64" s="132"/>
      <c r="AG64" s="133"/>
      <c r="AH64" s="134"/>
      <c r="AI64" s="134"/>
      <c r="AJ64" s="132"/>
      <c r="AK64" s="133"/>
    </row>
    <row r="65" spans="1:37" ht="151.5" hidden="1" customHeight="1" x14ac:dyDescent="0.25">
      <c r="A65" s="263"/>
      <c r="B65" s="250"/>
      <c r="C65" s="250"/>
      <c r="D65" s="283"/>
      <c r="E65" s="266"/>
      <c r="F65" s="250"/>
      <c r="G65" s="274"/>
      <c r="H65" s="271"/>
      <c r="I65" s="246"/>
      <c r="J65" s="256"/>
      <c r="K65" s="246">
        <f>IF(NOT(ISERROR(MATCH(J65,_xlfn.ANCHORARRAY(E76),0))),I78&amp;"Por favor no seleccionar los criterios de impacto",J65)</f>
        <v>0</v>
      </c>
      <c r="L65" s="271"/>
      <c r="M65" s="246"/>
      <c r="N65" s="280"/>
      <c r="O65" s="122">
        <v>5</v>
      </c>
      <c r="P65" s="123"/>
      <c r="Q65" s="124" t="str">
        <f t="shared" si="63"/>
        <v/>
      </c>
      <c r="R65" s="125"/>
      <c r="S65" s="125"/>
      <c r="T65" s="126" t="str">
        <f t="shared" si="60"/>
        <v/>
      </c>
      <c r="U65" s="125"/>
      <c r="V65" s="125"/>
      <c r="W65" s="125"/>
      <c r="X65" s="127" t="str">
        <f t="shared" si="64"/>
        <v/>
      </c>
      <c r="Y65" s="128" t="str">
        <f t="shared" si="1"/>
        <v/>
      </c>
      <c r="Z65" s="129" t="str">
        <f t="shared" si="61"/>
        <v/>
      </c>
      <c r="AA65" s="128" t="str">
        <f t="shared" si="3"/>
        <v/>
      </c>
      <c r="AB65" s="129" t="str">
        <f t="shared" si="65"/>
        <v/>
      </c>
      <c r="AC65" s="130" t="str">
        <f t="shared" ref="AC65:AC66" si="66">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1"/>
      <c r="AE65" s="132"/>
      <c r="AF65" s="132"/>
      <c r="AG65" s="133"/>
      <c r="AH65" s="134"/>
      <c r="AI65" s="134"/>
      <c r="AJ65" s="132"/>
      <c r="AK65" s="133"/>
    </row>
    <row r="66" spans="1:37" ht="13.95" hidden="1" customHeight="1" x14ac:dyDescent="0.25">
      <c r="A66" s="264"/>
      <c r="B66" s="251"/>
      <c r="C66" s="251"/>
      <c r="D66" s="284"/>
      <c r="E66" s="267"/>
      <c r="F66" s="251"/>
      <c r="G66" s="275"/>
      <c r="H66" s="272"/>
      <c r="I66" s="247"/>
      <c r="J66" s="257"/>
      <c r="K66" s="247">
        <f>IF(NOT(ISERROR(MATCH(J66,_xlfn.ANCHORARRAY(E77),0))),I79&amp;"Por favor no seleccionar los criterios de impacto",J66)</f>
        <v>0</v>
      </c>
      <c r="L66" s="272"/>
      <c r="M66" s="247"/>
      <c r="N66" s="281"/>
      <c r="O66" s="122">
        <v>6</v>
      </c>
      <c r="P66" s="123"/>
      <c r="Q66" s="124" t="str">
        <f t="shared" si="63"/>
        <v/>
      </c>
      <c r="R66" s="125"/>
      <c r="S66" s="125"/>
      <c r="T66" s="126" t="str">
        <f t="shared" si="60"/>
        <v/>
      </c>
      <c r="U66" s="125"/>
      <c r="V66" s="125"/>
      <c r="W66" s="125"/>
      <c r="X66" s="127" t="str">
        <f t="shared" si="64"/>
        <v/>
      </c>
      <c r="Y66" s="128" t="str">
        <f t="shared" si="1"/>
        <v/>
      </c>
      <c r="Z66" s="129" t="str">
        <f t="shared" si="61"/>
        <v/>
      </c>
      <c r="AA66" s="128" t="str">
        <f t="shared" si="3"/>
        <v/>
      </c>
      <c r="AB66" s="129" t="str">
        <f t="shared" si="65"/>
        <v/>
      </c>
      <c r="AC66" s="130" t="str">
        <f t="shared" si="66"/>
        <v/>
      </c>
      <c r="AD66" s="131"/>
      <c r="AE66" s="132"/>
      <c r="AF66" s="132"/>
      <c r="AG66" s="133"/>
      <c r="AH66" s="134"/>
      <c r="AI66" s="134"/>
      <c r="AJ66" s="132"/>
      <c r="AK66" s="133"/>
    </row>
    <row r="67" spans="1:37" ht="49.5" customHeight="1" x14ac:dyDescent="0.25">
      <c r="A67" s="6"/>
      <c r="B67" s="276" t="s">
        <v>132</v>
      </c>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7"/>
      <c r="AI67" s="277"/>
      <c r="AJ67" s="277"/>
      <c r="AK67" s="278"/>
    </row>
    <row r="69" spans="1:37" x14ac:dyDescent="0.25">
      <c r="A69" s="1"/>
      <c r="B69" s="23" t="s">
        <v>141</v>
      </c>
      <c r="C69" s="1"/>
      <c r="D69" s="1"/>
      <c r="F69" s="1"/>
    </row>
  </sheetData>
  <dataConsolidate/>
  <mergeCells count="197">
    <mergeCell ref="M52:M54"/>
    <mergeCell ref="N52:N54"/>
    <mergeCell ref="L43:L44"/>
    <mergeCell ref="J43:J44"/>
    <mergeCell ref="I43:I44"/>
    <mergeCell ref="H43:H44"/>
    <mergeCell ref="G43:G44"/>
    <mergeCell ref="N43:N44"/>
    <mergeCell ref="M43:M44"/>
    <mergeCell ref="J49:J51"/>
    <mergeCell ref="M49:M51"/>
    <mergeCell ref="N49:N51"/>
    <mergeCell ref="J52:J54"/>
    <mergeCell ref="A1:D2"/>
    <mergeCell ref="A7:G7"/>
    <mergeCell ref="H7:N7"/>
    <mergeCell ref="O7:W7"/>
    <mergeCell ref="X7:AD7"/>
    <mergeCell ref="AE7:AK7"/>
    <mergeCell ref="A4:B4"/>
    <mergeCell ref="A5:B5"/>
    <mergeCell ref="A6:B6"/>
    <mergeCell ref="E1:AI1"/>
    <mergeCell ref="AJ1:AK1"/>
    <mergeCell ref="E2:AI2"/>
    <mergeCell ref="AJ2:AK2"/>
    <mergeCell ref="C4:AK4"/>
    <mergeCell ref="C5:AK5"/>
    <mergeCell ref="C6:AK6"/>
    <mergeCell ref="B67:AK67"/>
    <mergeCell ref="M55:M60"/>
    <mergeCell ref="N55:N60"/>
    <mergeCell ref="A61:A66"/>
    <mergeCell ref="B61:B66"/>
    <mergeCell ref="C61:C66"/>
    <mergeCell ref="D61:D66"/>
    <mergeCell ref="E61:E66"/>
    <mergeCell ref="F61:F66"/>
    <mergeCell ref="G61:G66"/>
    <mergeCell ref="H61:H66"/>
    <mergeCell ref="I61:I66"/>
    <mergeCell ref="J61:J66"/>
    <mergeCell ref="K61:K66"/>
    <mergeCell ref="L61:L66"/>
    <mergeCell ref="M61:M66"/>
    <mergeCell ref="N61:N66"/>
    <mergeCell ref="J55:J60"/>
    <mergeCell ref="K55:K60"/>
    <mergeCell ref="L55:L60"/>
    <mergeCell ref="A55:A60"/>
    <mergeCell ref="B55:B60"/>
    <mergeCell ref="C55:C60"/>
    <mergeCell ref="D55:D60"/>
    <mergeCell ref="E55:E60"/>
    <mergeCell ref="F55:F60"/>
    <mergeCell ref="G55:G60"/>
    <mergeCell ref="H55:H60"/>
    <mergeCell ref="I55:I60"/>
    <mergeCell ref="E49:E51"/>
    <mergeCell ref="F49:F51"/>
    <mergeCell ref="G49:G51"/>
    <mergeCell ref="H49:H51"/>
    <mergeCell ref="I49:I51"/>
    <mergeCell ref="E52:E54"/>
    <mergeCell ref="F52:F54"/>
    <mergeCell ref="G52:G54"/>
    <mergeCell ref="H52:H54"/>
    <mergeCell ref="I52:I54"/>
    <mergeCell ref="H37:H42"/>
    <mergeCell ref="I37:I42"/>
    <mergeCell ref="K34:K36"/>
    <mergeCell ref="L34:L36"/>
    <mergeCell ref="A49:A54"/>
    <mergeCell ref="A43:A48"/>
    <mergeCell ref="B43:B48"/>
    <mergeCell ref="B49:B51"/>
    <mergeCell ref="C49:C51"/>
    <mergeCell ref="D49:D51"/>
    <mergeCell ref="K49:K51"/>
    <mergeCell ref="L49:L51"/>
    <mergeCell ref="B52:B54"/>
    <mergeCell ref="C52:C54"/>
    <mergeCell ref="D52:D54"/>
    <mergeCell ref="K52:K54"/>
    <mergeCell ref="L52:L54"/>
    <mergeCell ref="M34:M36"/>
    <mergeCell ref="N34:N36"/>
    <mergeCell ref="M37:M42"/>
    <mergeCell ref="N37:N42"/>
    <mergeCell ref="A34:A36"/>
    <mergeCell ref="B34:B36"/>
    <mergeCell ref="C34:C36"/>
    <mergeCell ref="A37:A42"/>
    <mergeCell ref="B37:B42"/>
    <mergeCell ref="C37:C42"/>
    <mergeCell ref="D37:D42"/>
    <mergeCell ref="E37:E42"/>
    <mergeCell ref="F37:F42"/>
    <mergeCell ref="D34:D36"/>
    <mergeCell ref="E34:E36"/>
    <mergeCell ref="J37:J42"/>
    <mergeCell ref="K37:K42"/>
    <mergeCell ref="L37:L42"/>
    <mergeCell ref="F34:F36"/>
    <mergeCell ref="G34:G36"/>
    <mergeCell ref="H34:H36"/>
    <mergeCell ref="I34:I36"/>
    <mergeCell ref="J34:J36"/>
    <mergeCell ref="G37:G42"/>
    <mergeCell ref="J28:J33"/>
    <mergeCell ref="K28:K33"/>
    <mergeCell ref="L28:L33"/>
    <mergeCell ref="M28:M33"/>
    <mergeCell ref="N28:N33"/>
    <mergeCell ref="J22:J27"/>
    <mergeCell ref="K22:K27"/>
    <mergeCell ref="L22:L27"/>
    <mergeCell ref="A22:A27"/>
    <mergeCell ref="B22:B27"/>
    <mergeCell ref="C22:C27"/>
    <mergeCell ref="D22:D27"/>
    <mergeCell ref="E22:E27"/>
    <mergeCell ref="A28:A33"/>
    <mergeCell ref="B28:B33"/>
    <mergeCell ref="C28:C33"/>
    <mergeCell ref="D28:D33"/>
    <mergeCell ref="E28:E33"/>
    <mergeCell ref="F28:F33"/>
    <mergeCell ref="G28:G33"/>
    <mergeCell ref="H28:H33"/>
    <mergeCell ref="I28:I33"/>
    <mergeCell ref="M22:M27"/>
    <mergeCell ref="N22:N27"/>
    <mergeCell ref="A8:A9"/>
    <mergeCell ref="F8:F9"/>
    <mergeCell ref="E8:E9"/>
    <mergeCell ref="D8:D9"/>
    <mergeCell ref="C8:C9"/>
    <mergeCell ref="B8:B9"/>
    <mergeCell ref="A16:A21"/>
    <mergeCell ref="B16:B21"/>
    <mergeCell ref="C16:C21"/>
    <mergeCell ref="D16:D21"/>
    <mergeCell ref="E16:E21"/>
    <mergeCell ref="F16:F21"/>
    <mergeCell ref="F10:F15"/>
    <mergeCell ref="A10:A15"/>
    <mergeCell ref="B10:B15"/>
    <mergeCell ref="C10:C15"/>
    <mergeCell ref="D10:D15"/>
    <mergeCell ref="E10:E15"/>
    <mergeCell ref="F22:F27"/>
    <mergeCell ref="G22:G27"/>
    <mergeCell ref="H22:H27"/>
    <mergeCell ref="I22:I27"/>
    <mergeCell ref="J16:J21"/>
    <mergeCell ref="G16:G21"/>
    <mergeCell ref="H16:H21"/>
    <mergeCell ref="I16:I21"/>
    <mergeCell ref="G10:G15"/>
    <mergeCell ref="H10:H15"/>
    <mergeCell ref="I10:I15"/>
    <mergeCell ref="J10:J15"/>
    <mergeCell ref="AK8:AK9"/>
    <mergeCell ref="AJ8:AJ9"/>
    <mergeCell ref="AI8:AI9"/>
    <mergeCell ref="AH8:AH9"/>
    <mergeCell ref="AG8:AG9"/>
    <mergeCell ref="AF8:AF9"/>
    <mergeCell ref="Y8:Y9"/>
    <mergeCell ref="Z8:Z9"/>
    <mergeCell ref="AA8:AA9"/>
    <mergeCell ref="AD8:AD9"/>
    <mergeCell ref="AC8:AC9"/>
    <mergeCell ref="AB8:AB9"/>
    <mergeCell ref="L10:L15"/>
    <mergeCell ref="M10:M15"/>
    <mergeCell ref="J8:J9"/>
    <mergeCell ref="K8:K9"/>
    <mergeCell ref="G8:G9"/>
    <mergeCell ref="H8:H9"/>
    <mergeCell ref="I8:I9"/>
    <mergeCell ref="N16:N21"/>
    <mergeCell ref="AE8:AE9"/>
    <mergeCell ref="N8:N9"/>
    <mergeCell ref="Q8:Q9"/>
    <mergeCell ref="R8:W8"/>
    <mergeCell ref="O8:O9"/>
    <mergeCell ref="X8:X9"/>
    <mergeCell ref="P8:P9"/>
    <mergeCell ref="N10:N15"/>
    <mergeCell ref="K16:K21"/>
    <mergeCell ref="L16:L21"/>
    <mergeCell ref="M16:M21"/>
    <mergeCell ref="L8:L9"/>
    <mergeCell ref="M8:M9"/>
    <mergeCell ref="K10:K15"/>
  </mergeCells>
  <conditionalFormatting sqref="H10 Y10:Y66 H16">
    <cfRule type="cellIs" dxfId="90" priority="332" operator="equal">
      <formula>"Muy Baja"</formula>
    </cfRule>
    <cfRule type="cellIs" dxfId="89" priority="331" operator="equal">
      <formula>"Baja"</formula>
    </cfRule>
    <cfRule type="cellIs" dxfId="88" priority="330" operator="equal">
      <formula>"Media"</formula>
    </cfRule>
    <cfRule type="cellIs" dxfId="87" priority="329" operator="equal">
      <formula>"Alta"</formula>
    </cfRule>
    <cfRule type="cellIs" dxfId="86" priority="328" operator="equal">
      <formula>"Muy Alta"</formula>
    </cfRule>
  </conditionalFormatting>
  <conditionalFormatting sqref="H22">
    <cfRule type="cellIs" dxfId="85" priority="230" operator="equal">
      <formula>"Muy Alta"</formula>
    </cfRule>
    <cfRule type="cellIs" dxfId="84" priority="234" operator="equal">
      <formula>"Muy Baja"</formula>
    </cfRule>
    <cfRule type="cellIs" dxfId="83" priority="233" operator="equal">
      <formula>"Baja"</formula>
    </cfRule>
    <cfRule type="cellIs" dxfId="82" priority="232" operator="equal">
      <formula>"Media"</formula>
    </cfRule>
    <cfRule type="cellIs" dxfId="81" priority="231" operator="equal">
      <formula>"Alta"</formula>
    </cfRule>
  </conditionalFormatting>
  <conditionalFormatting sqref="H28">
    <cfRule type="cellIs" dxfId="80" priority="206" operator="equal">
      <formula>"Muy Baja"</formula>
    </cfRule>
    <cfRule type="cellIs" dxfId="79" priority="205" operator="equal">
      <formula>"Baja"</formula>
    </cfRule>
    <cfRule type="cellIs" dxfId="78" priority="204" operator="equal">
      <formula>"Media"</formula>
    </cfRule>
    <cfRule type="cellIs" dxfId="77" priority="203" operator="equal">
      <formula>"Alta"</formula>
    </cfRule>
    <cfRule type="cellIs" dxfId="76" priority="202" operator="equal">
      <formula>"Muy Alta"</formula>
    </cfRule>
  </conditionalFormatting>
  <conditionalFormatting sqref="H34">
    <cfRule type="cellIs" dxfId="75" priority="178" operator="equal">
      <formula>"Muy Baja"</formula>
    </cfRule>
    <cfRule type="cellIs" dxfId="74" priority="177" operator="equal">
      <formula>"Baja"</formula>
    </cfRule>
    <cfRule type="cellIs" dxfId="73" priority="176" operator="equal">
      <formula>"Media"</formula>
    </cfRule>
    <cfRule type="cellIs" dxfId="72" priority="175" operator="equal">
      <formula>"Alta"</formula>
    </cfRule>
    <cfRule type="cellIs" dxfId="71" priority="174" operator="equal">
      <formula>"Muy Alta"</formula>
    </cfRule>
  </conditionalFormatting>
  <conditionalFormatting sqref="H37">
    <cfRule type="cellIs" dxfId="70" priority="146" operator="equal">
      <formula>"Muy Alta"</formula>
    </cfRule>
    <cfRule type="cellIs" dxfId="69" priority="147" operator="equal">
      <formula>"Alta"</formula>
    </cfRule>
    <cfRule type="cellIs" dxfId="68" priority="150" operator="equal">
      <formula>"Muy Baja"</formula>
    </cfRule>
    <cfRule type="cellIs" dxfId="67" priority="148" operator="equal">
      <formula>"Media"</formula>
    </cfRule>
    <cfRule type="cellIs" dxfId="66" priority="149" operator="equal">
      <formula>"Baja"</formula>
    </cfRule>
  </conditionalFormatting>
  <conditionalFormatting sqref="H43">
    <cfRule type="cellIs" dxfId="65" priority="120" operator="equal">
      <formula>"Media"</formula>
    </cfRule>
    <cfRule type="cellIs" dxfId="64" priority="118" operator="equal">
      <formula>"Muy Alta"</formula>
    </cfRule>
    <cfRule type="cellIs" dxfId="63" priority="119" operator="equal">
      <formula>"Alta"</formula>
    </cfRule>
    <cfRule type="cellIs" dxfId="62" priority="121" operator="equal">
      <formula>"Baja"</formula>
    </cfRule>
    <cfRule type="cellIs" dxfId="61" priority="122" operator="equal">
      <formula>"Muy Baja"</formula>
    </cfRule>
  </conditionalFormatting>
  <conditionalFormatting sqref="H49 H52">
    <cfRule type="cellIs" dxfId="60" priority="8" operator="equal">
      <formula>"Baja"</formula>
    </cfRule>
    <cfRule type="cellIs" dxfId="59" priority="5" operator="equal">
      <formula>"Muy Alta"</formula>
    </cfRule>
    <cfRule type="cellIs" dxfId="58" priority="6" operator="equal">
      <formula>"Alta"</formula>
    </cfRule>
    <cfRule type="cellIs" dxfId="57" priority="7" operator="equal">
      <formula>"Media"</formula>
    </cfRule>
    <cfRule type="cellIs" dxfId="56" priority="9" operator="equal">
      <formula>"Muy Baja"</formula>
    </cfRule>
  </conditionalFormatting>
  <conditionalFormatting sqref="H55">
    <cfRule type="cellIs" dxfId="55" priority="62" operator="equal">
      <formula>"Muy Alta"</formula>
    </cfRule>
    <cfRule type="cellIs" dxfId="54" priority="63" operator="equal">
      <formula>"Alta"</formula>
    </cfRule>
    <cfRule type="cellIs" dxfId="53" priority="64" operator="equal">
      <formula>"Media"</formula>
    </cfRule>
    <cfRule type="cellIs" dxfId="52" priority="65" operator="equal">
      <formula>"Baja"</formula>
    </cfRule>
    <cfRule type="cellIs" dxfId="51" priority="66" operator="equal">
      <formula>"Muy Baja"</formula>
    </cfRule>
  </conditionalFormatting>
  <conditionalFormatting sqref="H61">
    <cfRule type="cellIs" dxfId="50" priority="35" operator="equal">
      <formula>"Alta"</formula>
    </cfRule>
    <cfRule type="cellIs" dxfId="49" priority="34" operator="equal">
      <formula>"Muy Alta"</formula>
    </cfRule>
    <cfRule type="cellIs" dxfId="48" priority="36" operator="equal">
      <formula>"Media"</formula>
    </cfRule>
    <cfRule type="cellIs" dxfId="47" priority="37" operator="equal">
      <formula>"Baja"</formula>
    </cfRule>
    <cfRule type="cellIs" dxfId="46" priority="38" operator="equal">
      <formula>"Muy Baja"</formula>
    </cfRule>
  </conditionalFormatting>
  <conditionalFormatting sqref="K10:K66">
    <cfRule type="containsText" dxfId="45" priority="10" operator="containsText" text="❌">
      <formula>NOT(ISERROR(SEARCH("❌",K10)))</formula>
    </cfRule>
  </conditionalFormatting>
  <conditionalFormatting sqref="L10 AA10:AA66 L16 L22 L28 L34 L37 L43 L49 L52 L55 L61">
    <cfRule type="cellIs" dxfId="44" priority="326" operator="equal">
      <formula>"Menor"</formula>
    </cfRule>
    <cfRule type="cellIs" dxfId="43" priority="324" operator="equal">
      <formula>"Mayor"</formula>
    </cfRule>
    <cfRule type="cellIs" dxfId="42" priority="323" operator="equal">
      <formula>"Catastrófico"</formula>
    </cfRule>
    <cfRule type="cellIs" dxfId="41" priority="325" operator="equal">
      <formula>"Moderado"</formula>
    </cfRule>
    <cfRule type="cellIs" dxfId="40" priority="327" operator="equal">
      <formula>"Leve"</formula>
    </cfRule>
  </conditionalFormatting>
  <conditionalFormatting sqref="N10 AC10:AC66">
    <cfRule type="cellIs" dxfId="39" priority="322" operator="equal">
      <formula>"Bajo"</formula>
    </cfRule>
    <cfRule type="cellIs" dxfId="38" priority="321" operator="equal">
      <formula>"Moderado"</formula>
    </cfRule>
    <cfRule type="cellIs" dxfId="37" priority="319" operator="equal">
      <formula>"Extremo"</formula>
    </cfRule>
    <cfRule type="cellIs" dxfId="36" priority="320" operator="equal">
      <formula>"Alto"</formula>
    </cfRule>
  </conditionalFormatting>
  <conditionalFormatting sqref="N16">
    <cfRule type="cellIs" dxfId="35" priority="249" operator="equal">
      <formula>"Extremo"</formula>
    </cfRule>
    <cfRule type="cellIs" dxfId="34" priority="250" operator="equal">
      <formula>"Alto"</formula>
    </cfRule>
    <cfRule type="cellIs" dxfId="33" priority="251" operator="equal">
      <formula>"Moderado"</formula>
    </cfRule>
    <cfRule type="cellIs" dxfId="32" priority="252" operator="equal">
      <formula>"Bajo"</formula>
    </cfRule>
  </conditionalFormatting>
  <conditionalFormatting sqref="N22">
    <cfRule type="cellIs" dxfId="31" priority="221" operator="equal">
      <formula>"Extremo"</formula>
    </cfRule>
    <cfRule type="cellIs" dxfId="30" priority="222" operator="equal">
      <formula>"Alto"</formula>
    </cfRule>
    <cfRule type="cellIs" dxfId="29" priority="223" operator="equal">
      <formula>"Moderado"</formula>
    </cfRule>
    <cfRule type="cellIs" dxfId="28" priority="224" operator="equal">
      <formula>"Bajo"</formula>
    </cfRule>
  </conditionalFormatting>
  <conditionalFormatting sqref="N28">
    <cfRule type="cellIs" dxfId="27" priority="195" operator="equal">
      <formula>"Moderado"</formula>
    </cfRule>
    <cfRule type="cellIs" dxfId="26" priority="194" operator="equal">
      <formula>"Alto"</formula>
    </cfRule>
    <cfRule type="cellIs" dxfId="25" priority="193" operator="equal">
      <formula>"Extremo"</formula>
    </cfRule>
    <cfRule type="cellIs" dxfId="24" priority="196" operator="equal">
      <formula>"Bajo"</formula>
    </cfRule>
  </conditionalFormatting>
  <conditionalFormatting sqref="N34">
    <cfRule type="cellIs" dxfId="23" priority="165" operator="equal">
      <formula>"Extremo"</formula>
    </cfRule>
    <cfRule type="cellIs" dxfId="22" priority="166" operator="equal">
      <formula>"Alto"</formula>
    </cfRule>
    <cfRule type="cellIs" dxfId="21" priority="168" operator="equal">
      <formula>"Bajo"</formula>
    </cfRule>
    <cfRule type="cellIs" dxfId="20" priority="167" operator="equal">
      <formula>"Moderado"</formula>
    </cfRule>
  </conditionalFormatting>
  <conditionalFormatting sqref="N37">
    <cfRule type="cellIs" dxfId="19" priority="138" operator="equal">
      <formula>"Alto"</formula>
    </cfRule>
    <cfRule type="cellIs" dxfId="18" priority="137" operator="equal">
      <formula>"Extremo"</formula>
    </cfRule>
    <cfRule type="cellIs" dxfId="17" priority="139" operator="equal">
      <formula>"Moderado"</formula>
    </cfRule>
    <cfRule type="cellIs" dxfId="16" priority="140" operator="equal">
      <formula>"Bajo"</formula>
    </cfRule>
  </conditionalFormatting>
  <conditionalFormatting sqref="N43">
    <cfRule type="cellIs" dxfId="15" priority="110" operator="equal">
      <formula>"Alto"</formula>
    </cfRule>
    <cfRule type="cellIs" dxfId="14" priority="112" operator="equal">
      <formula>"Bajo"</formula>
    </cfRule>
    <cfRule type="cellIs" dxfId="13" priority="109" operator="equal">
      <formula>"Extremo"</formula>
    </cfRule>
    <cfRule type="cellIs" dxfId="12" priority="111" operator="equal">
      <formula>"Moderado"</formula>
    </cfRule>
  </conditionalFormatting>
  <conditionalFormatting sqref="N49 N52">
    <cfRule type="cellIs" dxfId="11" priority="3" operator="equal">
      <formula>"Moderado"</formula>
    </cfRule>
    <cfRule type="cellIs" dxfId="10" priority="4" operator="equal">
      <formula>"Bajo"</formula>
    </cfRule>
    <cfRule type="cellIs" dxfId="9" priority="1" operator="equal">
      <formula>"Extremo"</formula>
    </cfRule>
    <cfRule type="cellIs" dxfId="8" priority="2" operator="equal">
      <formula>"Alto"</formula>
    </cfRule>
  </conditionalFormatting>
  <conditionalFormatting sqref="N55">
    <cfRule type="cellIs" dxfId="7" priority="55" operator="equal">
      <formula>"Moderado"</formula>
    </cfRule>
    <cfRule type="cellIs" dxfId="6" priority="56" operator="equal">
      <formula>"Bajo"</formula>
    </cfRule>
    <cfRule type="cellIs" dxfId="5" priority="54" operator="equal">
      <formula>"Alto"</formula>
    </cfRule>
    <cfRule type="cellIs" dxfId="4" priority="53" operator="equal">
      <formula>"Extremo"</formula>
    </cfRule>
  </conditionalFormatting>
  <conditionalFormatting sqref="N61">
    <cfRule type="cellIs" dxfId="3" priority="25" operator="equal">
      <formula>"Extremo"</formula>
    </cfRule>
    <cfRule type="cellIs" dxfId="2" priority="27" operator="equal">
      <formula>"Moderado"</formula>
    </cfRule>
    <cfRule type="cellIs" dxfId="1" priority="28" operator="equal">
      <formula>"Bajo"</formula>
    </cfRule>
    <cfRule type="cellIs" dxfId="0" priority="26" operator="equal">
      <formula>"Alto"</formula>
    </cfRule>
  </conditionalFormatting>
  <dataValidations count="2">
    <dataValidation showInputMessage="1" showErrorMessage="1" error="Recuerde que las acciones se generan bajo la medida de mitigar el riesgo" sqref="AG10:AG18 AG34 AG28:AG30 AG22:AG23 AG37:AG39 AG49 AG52" xr:uid="{051F36B7-0FE5-43D6-9DF2-99F29870E556}"/>
    <dataValidation allowBlank="1" showInputMessage="1" showErrorMessage="1" error="Recuerde que las acciones se generan bajo la medida de mitigar el riesgo" sqref="AH37:AI39 AG24:AG27 AG19:AG21 AE10:AE28 AH34 AH10:AI30 AH43:AI48 AH55:AI55 AH49 AH52 AJ10 AJ28 AE49 AJ49" xr:uid="{13580D2F-3E5A-4F1E-9322-27835B969BA5}"/>
  </dataValidations>
  <pageMargins left="0.7" right="0.7" top="0.75" bottom="0.75" header="0.3" footer="0.3"/>
  <pageSetup orientation="portrait" r:id="rId1"/>
  <ignoredErrors>
    <ignoredError sqref="AB12" formula="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AK10:AK11 AK13:AK14 AK16:AK17 AK19:AK20 AK22:AK23 AK25:AK26 AK28:AK29 AK31:AK32 AK37:AK38 AK40:AK41 AK43:AK44 AK46:AK47 AK64:AK65 AK34:AK35 AK55:AK56 AK58:AK59 AK61:AK62 AK49:AK50 AK52:AK53</xm:sqref>
        </x14:dataValidation>
        <x14:dataValidation type="custom" allowBlank="1" showInputMessage="1" showErrorMessage="1" error="Recuerde que las acciones se generan bajo la medida de mitigar el riesgo" xr:uid="{00000000-0002-0000-0100-00000B000000}">
          <x14:formula1>
            <xm:f>IF(OR(AD31='Opciones Tratamiento'!$B$2,AD31='Opciones Tratamiento'!$B$3,AD31='Opciones Tratamiento'!$B$4),ISBLANK(AD31),ISTEXT(AD31))</xm:f>
          </x14:formula1>
          <xm:sqref>AG31:AG33 AG35:AG36 AG40:AG48 AG53:AG66 AG50:AG51</xm:sqref>
        </x14:dataValidation>
        <x14:dataValidation type="custom" allowBlank="1" showInputMessage="1" showErrorMessage="1" error="Recuerde que las acciones se generan bajo la medida de mitigar el riesgo" xr:uid="{00000000-0002-0000-0100-00000C000000}">
          <x14:formula1>
            <xm:f>IF(OR(AD31='Opciones Tratamiento'!$B$2,AD31='Opciones Tratamiento'!$B$3,AD31='Opciones Tratamiento'!$B$4),ISBLANK(AD31),ISTEXT(AD31))</xm:f>
          </x14:formula1>
          <xm:sqref>AH31:AH33 AH35:AH36 AH40:AH42 AH56:AH66 AH50:AH51 AH53:AH54</xm:sqref>
        </x14:dataValidation>
        <x14:dataValidation type="custom" allowBlank="1" showInputMessage="1" showErrorMessage="1" error="Recuerde que las acciones se generan bajo la medida de mitigar el riesgo" xr:uid="{00000000-0002-0000-0100-00000D000000}">
          <x14:formula1>
            <xm:f>IF(OR(AD31='Opciones Tratamiento'!$B$2,AD31='Opciones Tratamiento'!$B$3,AD31='Opciones Tratamiento'!$B$4),ISBLANK(AD31),ISTEXT(AD31))</xm:f>
          </x14:formula1>
          <xm:sqref>AI31:AI36 AI40:AI42 AI56:AI66 AI49:AI54</xm:sqref>
        </x14:dataValidation>
        <x14:dataValidation type="list" allowBlank="1" showInputMessage="1" showErrorMessage="1" xr:uid="{00000000-0002-0000-0100-000000000000}">
          <x14:formula1>
            <xm:f>'Tabla Valoración controles'!$D$4:$D$6</xm:f>
          </x14:formula1>
          <xm:sqref>R10:R66</xm:sqref>
        </x14:dataValidation>
        <x14:dataValidation type="list" allowBlank="1" showInputMessage="1" showErrorMessage="1" xr:uid="{00000000-0002-0000-0100-000001000000}">
          <x14:formula1>
            <xm:f>'Tabla Valoración controles'!$D$7:$D$8</xm:f>
          </x14:formula1>
          <xm:sqref>S10:S66</xm:sqref>
        </x14:dataValidation>
        <x14:dataValidation type="list" allowBlank="1" showInputMessage="1" showErrorMessage="1" xr:uid="{00000000-0002-0000-0100-000002000000}">
          <x14:formula1>
            <xm:f>'Tabla Valoración controles'!$D$9:$D$10</xm:f>
          </x14:formula1>
          <xm:sqref>U10:U66</xm:sqref>
        </x14:dataValidation>
        <x14:dataValidation type="list" allowBlank="1" showInputMessage="1" showErrorMessage="1" xr:uid="{00000000-0002-0000-0100-000003000000}">
          <x14:formula1>
            <xm:f>'Tabla Valoración controles'!$D$11:$D$12</xm:f>
          </x14:formula1>
          <xm:sqref>V10:V66</xm:sqref>
        </x14:dataValidation>
        <x14:dataValidation type="list" allowBlank="1" showInputMessage="1" showErrorMessage="1" xr:uid="{00000000-0002-0000-0100-000005000000}">
          <x14:formula1>
            <xm:f>'Tabla Valoración controles'!$D$13:$D$14</xm:f>
          </x14:formula1>
          <xm:sqref>W10:W66</xm:sqref>
        </x14:dataValidation>
        <x14:dataValidation type="list" allowBlank="1" showInputMessage="1" showErrorMessage="1" xr:uid="{00000000-0002-0000-0100-000006000000}">
          <x14:formula1>
            <xm:f>'Opciones Tratamiento'!$B$13:$B$19</xm:f>
          </x14:formula1>
          <xm:sqref>F10:F66</xm:sqref>
        </x14:dataValidation>
        <x14:dataValidation type="list" allowBlank="1" showInputMessage="1" showErrorMessage="1" xr:uid="{00000000-0002-0000-0100-000008000000}">
          <x14:formula1>
            <xm:f>'Opciones Tratamiento'!$B$2:$B$5</xm:f>
          </x14:formula1>
          <xm:sqref>AD10:AD66</xm:sqref>
        </x14:dataValidation>
        <x14:dataValidation type="list" allowBlank="1" showInputMessage="1" showErrorMessage="1" xr:uid="{00000000-0002-0000-0100-000009000000}">
          <x14:formula1>
            <xm:f>'Tabla Impacto'!$F$210:$F$221</xm:f>
          </x14:formula1>
          <xm:sqref>J10:J66</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AF10:AF66 AE29:AE48 AE50:AE66</xm:sqref>
        </x14:dataValidation>
        <x14:dataValidation type="custom" allowBlank="1" showInputMessage="1" showErrorMessage="1" error="Recuerde que las acciones se generan bajo la medida de mitigar el riesgo" xr:uid="{00000000-0002-0000-0100-00000E000000}">
          <x14:formula1>
            <xm:f>IF(OR(AD11='Opciones Tratamiento'!$B$2,AD11='Opciones Tratamiento'!$B$3,AD11='Opciones Tratamiento'!$B$4),ISBLANK(AD11),ISTEXT(AD11))</xm:f>
          </x14:formula1>
          <xm:sqref>AJ11:AJ27 AJ29:AJ48 AJ50:AJ66</xm:sqref>
        </x14:dataValidation>
        <x14:dataValidation type="list" allowBlank="1" showInputMessage="1" showErrorMessage="1" xr:uid="{00000000-0002-0000-0100-000007000000}">
          <x14:formula1>
            <xm:f>'Opciones Tratamiento'!$E$2:$E$4</xm:f>
          </x14:formula1>
          <xm:sqref>B10:B66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RowHeight="14.4" x14ac:dyDescent="0.3"/>
  <cols>
    <col min="2" max="39" width="5.6640625" customWidth="1"/>
    <col min="41" max="46" width="5.6640625" customWidth="1"/>
  </cols>
  <sheetData>
    <row r="1" spans="1:99" x14ac:dyDescent="0.3">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3">
      <c r="A2" s="82"/>
      <c r="B2" s="302" t="s">
        <v>158</v>
      </c>
      <c r="C2" s="302"/>
      <c r="D2" s="302"/>
      <c r="E2" s="302"/>
      <c r="F2" s="302"/>
      <c r="G2" s="302"/>
      <c r="H2" s="302"/>
      <c r="I2" s="302"/>
      <c r="J2" s="339" t="s">
        <v>2</v>
      </c>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3">
      <c r="A3" s="82"/>
      <c r="B3" s="302"/>
      <c r="C3" s="302"/>
      <c r="D3" s="302"/>
      <c r="E3" s="302"/>
      <c r="F3" s="302"/>
      <c r="G3" s="302"/>
      <c r="H3" s="302"/>
      <c r="I3" s="302"/>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3">
      <c r="A4" s="82"/>
      <c r="B4" s="302"/>
      <c r="C4" s="302"/>
      <c r="D4" s="302"/>
      <c r="E4" s="302"/>
      <c r="F4" s="302"/>
      <c r="G4" s="302"/>
      <c r="H4" s="302"/>
      <c r="I4" s="302"/>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339"/>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 thickBot="1" x14ac:dyDescent="0.35">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3">
      <c r="A6" s="82"/>
      <c r="B6" s="350" t="s">
        <v>4</v>
      </c>
      <c r="C6" s="350"/>
      <c r="D6" s="351"/>
      <c r="E6" s="340" t="s">
        <v>115</v>
      </c>
      <c r="F6" s="341"/>
      <c r="G6" s="341"/>
      <c r="H6" s="341"/>
      <c r="I6" s="342"/>
      <c r="J6" s="336" t="str">
        <f>IF(AND('Mapa final'!$H$10="Muy Alta",'Mapa final'!$L$10="Leve"),CONCATENATE("R",'Mapa final'!$A$10),"")</f>
        <v/>
      </c>
      <c r="K6" s="337"/>
      <c r="L6" s="337" t="str">
        <f>IF(AND('Mapa final'!$H$16="Muy Alta",'Mapa final'!$L$16="Leve"),CONCATENATE("R",'Mapa final'!$A$16),"")</f>
        <v/>
      </c>
      <c r="M6" s="337"/>
      <c r="N6" s="337" t="str">
        <f>IF(AND('Mapa final'!$H$22="Muy Alta",'Mapa final'!$L$22="Leve"),CONCATENATE("R",'Mapa final'!$A$22),"")</f>
        <v/>
      </c>
      <c r="O6" s="338"/>
      <c r="P6" s="336" t="str">
        <f>IF(AND('Mapa final'!$H$10="Muy Alta",'Mapa final'!$L$10="Menor"),CONCATENATE("R",'Mapa final'!$A$10),"")</f>
        <v/>
      </c>
      <c r="Q6" s="337"/>
      <c r="R6" s="337" t="str">
        <f>IF(AND('Mapa final'!$H$16="Muy Alta",'Mapa final'!$L$16="Menor"),CONCATENATE("R",'Mapa final'!$A$16),"")</f>
        <v/>
      </c>
      <c r="S6" s="337"/>
      <c r="T6" s="337" t="str">
        <f>IF(AND('Mapa final'!$H$22="Muy Alta",'Mapa final'!$L$22="Menor"),CONCATENATE("R",'Mapa final'!$A$22),"")</f>
        <v/>
      </c>
      <c r="U6" s="338"/>
      <c r="V6" s="336" t="str">
        <f>IF(AND('Mapa final'!$H$10="Muy Alta",'Mapa final'!$L$10="Moderado"),CONCATENATE("R",'Mapa final'!$A$10),"")</f>
        <v/>
      </c>
      <c r="W6" s="337"/>
      <c r="X6" s="337" t="str">
        <f>IF(AND('Mapa final'!$H$16="Muy Alta",'Mapa final'!$L$16="Moderado"),CONCATENATE("R",'Mapa final'!$A$16),"")</f>
        <v/>
      </c>
      <c r="Y6" s="337"/>
      <c r="Z6" s="337" t="str">
        <f>IF(AND('Mapa final'!$H$22="Muy Alta",'Mapa final'!$L$22="Moderado"),CONCATENATE("R",'Mapa final'!$A$22),"")</f>
        <v/>
      </c>
      <c r="AA6" s="338"/>
      <c r="AB6" s="336" t="str">
        <f>IF(AND('Mapa final'!$H$10="Muy Alta",'Mapa final'!$L$10="Mayor"),CONCATENATE("R",'Mapa final'!$A$10),"")</f>
        <v/>
      </c>
      <c r="AC6" s="337"/>
      <c r="AD6" s="337" t="str">
        <f>IF(AND('Mapa final'!$H$16="Muy Alta",'Mapa final'!$L$16="Mayor"),CONCATENATE("R",'Mapa final'!$A$16),"")</f>
        <v/>
      </c>
      <c r="AE6" s="337"/>
      <c r="AF6" s="337" t="str">
        <f>IF(AND('Mapa final'!$H$22="Muy Alta",'Mapa final'!$L$22="Mayor"),CONCATENATE("R",'Mapa final'!$A$22),"")</f>
        <v/>
      </c>
      <c r="AG6" s="338"/>
      <c r="AH6" s="327" t="str">
        <f>IF(AND('Mapa final'!$H$10="Muy Alta",'Mapa final'!$L$10="Catastrófico"),CONCATENATE("R",'Mapa final'!$A$10),"")</f>
        <v/>
      </c>
      <c r="AI6" s="328"/>
      <c r="AJ6" s="328" t="str">
        <f>IF(AND('Mapa final'!$H$16="Muy Alta",'Mapa final'!$L$16="Catastrófico"),CONCATENATE("R",'Mapa final'!$A$16),"")</f>
        <v/>
      </c>
      <c r="AK6" s="328"/>
      <c r="AL6" s="328" t="str">
        <f>IF(AND('Mapa final'!$H$22="Muy Alta",'Mapa final'!$L$22="Catastrófico"),CONCATENATE("R",'Mapa final'!$A$22),"")</f>
        <v/>
      </c>
      <c r="AM6" s="329"/>
      <c r="AO6" s="352" t="s">
        <v>78</v>
      </c>
      <c r="AP6" s="353"/>
      <c r="AQ6" s="353"/>
      <c r="AR6" s="353"/>
      <c r="AS6" s="353"/>
      <c r="AT6" s="354"/>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3">
      <c r="A7" s="82"/>
      <c r="B7" s="350"/>
      <c r="C7" s="350"/>
      <c r="D7" s="351"/>
      <c r="E7" s="343"/>
      <c r="F7" s="344"/>
      <c r="G7" s="344"/>
      <c r="H7" s="344"/>
      <c r="I7" s="345"/>
      <c r="J7" s="330"/>
      <c r="K7" s="331"/>
      <c r="L7" s="331"/>
      <c r="M7" s="331"/>
      <c r="N7" s="331"/>
      <c r="O7" s="332"/>
      <c r="P7" s="330"/>
      <c r="Q7" s="331"/>
      <c r="R7" s="331"/>
      <c r="S7" s="331"/>
      <c r="T7" s="331"/>
      <c r="U7" s="332"/>
      <c r="V7" s="330"/>
      <c r="W7" s="331"/>
      <c r="X7" s="331"/>
      <c r="Y7" s="331"/>
      <c r="Z7" s="331"/>
      <c r="AA7" s="332"/>
      <c r="AB7" s="330"/>
      <c r="AC7" s="331"/>
      <c r="AD7" s="331"/>
      <c r="AE7" s="331"/>
      <c r="AF7" s="331"/>
      <c r="AG7" s="332"/>
      <c r="AH7" s="321"/>
      <c r="AI7" s="322"/>
      <c r="AJ7" s="322"/>
      <c r="AK7" s="322"/>
      <c r="AL7" s="322"/>
      <c r="AM7" s="323"/>
      <c r="AN7" s="82"/>
      <c r="AO7" s="355"/>
      <c r="AP7" s="356"/>
      <c r="AQ7" s="356"/>
      <c r="AR7" s="356"/>
      <c r="AS7" s="356"/>
      <c r="AT7" s="357"/>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3">
      <c r="A8" s="82"/>
      <c r="B8" s="350"/>
      <c r="C8" s="350"/>
      <c r="D8" s="351"/>
      <c r="E8" s="343"/>
      <c r="F8" s="344"/>
      <c r="G8" s="344"/>
      <c r="H8" s="344"/>
      <c r="I8" s="345"/>
      <c r="J8" s="330" t="str">
        <f>IF(AND('Mapa final'!$H$28="Muy Alta",'Mapa final'!$L$28="Leve"),CONCATENATE("R",'Mapa final'!$A$28),"")</f>
        <v/>
      </c>
      <c r="K8" s="331"/>
      <c r="L8" s="331" t="str">
        <f>IF(AND('Mapa final'!$H$34="Muy Alta",'Mapa final'!$L$34="Leve"),CONCATENATE("R",'Mapa final'!$A$34),"")</f>
        <v/>
      </c>
      <c r="M8" s="331"/>
      <c r="N8" s="331" t="str">
        <f>IF(AND('Mapa final'!$H$37="Muy Alta",'Mapa final'!$L$37="Leve"),CONCATENATE("R",'Mapa final'!$A$37),"")</f>
        <v/>
      </c>
      <c r="O8" s="332"/>
      <c r="P8" s="330" t="str">
        <f>IF(AND('Mapa final'!$H$28="Muy Alta",'Mapa final'!$L$28="Menor"),CONCATENATE("R",'Mapa final'!$A$28),"")</f>
        <v>R4</v>
      </c>
      <c r="Q8" s="331"/>
      <c r="R8" s="331" t="str">
        <f>IF(AND('Mapa final'!$H$34="Muy Alta",'Mapa final'!$L$34="Menor"),CONCATENATE("R",'Mapa final'!$A$34),"")</f>
        <v/>
      </c>
      <c r="S8" s="331"/>
      <c r="T8" s="331" t="str">
        <f>IF(AND('Mapa final'!$H$37="Muy Alta",'Mapa final'!$L$37="Menor"),CONCATENATE("R",'Mapa final'!$A$37),"")</f>
        <v/>
      </c>
      <c r="U8" s="332"/>
      <c r="V8" s="330" t="str">
        <f>IF(AND('Mapa final'!$H$28="Muy Alta",'Mapa final'!$L$28="Moderado"),CONCATENATE("R",'Mapa final'!$A$28),"")</f>
        <v/>
      </c>
      <c r="W8" s="331"/>
      <c r="X8" s="331" t="str">
        <f>IF(AND('Mapa final'!$H$34="Muy Alta",'Mapa final'!$L$34="Moderado"),CONCATENATE("R",'Mapa final'!$A$34),"")</f>
        <v/>
      </c>
      <c r="Y8" s="331"/>
      <c r="Z8" s="331" t="str">
        <f>IF(AND('Mapa final'!$H$37="Muy Alta",'Mapa final'!$L$37="Moderado"),CONCATENATE("R",'Mapa final'!$A$37),"")</f>
        <v/>
      </c>
      <c r="AA8" s="332"/>
      <c r="AB8" s="330" t="str">
        <f>IF(AND('Mapa final'!$H$28="Muy Alta",'Mapa final'!$L$28="Mayor"),CONCATENATE("R",'Mapa final'!$A$28),"")</f>
        <v/>
      </c>
      <c r="AC8" s="331"/>
      <c r="AD8" s="331" t="str">
        <f>IF(AND('Mapa final'!$H$34="Muy Alta",'Mapa final'!$L$34="Mayor"),CONCATENATE("R",'Mapa final'!$A$34),"")</f>
        <v/>
      </c>
      <c r="AE8" s="331"/>
      <c r="AF8" s="331" t="str">
        <f>IF(AND('Mapa final'!$H$37="Muy Alta",'Mapa final'!$L$37="Mayor"),CONCATENATE("R",'Mapa final'!$A$37),"")</f>
        <v/>
      </c>
      <c r="AG8" s="332"/>
      <c r="AH8" s="321" t="str">
        <f>IF(AND('Mapa final'!$H$28="Muy Alta",'Mapa final'!$L$28="Catastrófico"),CONCATENATE("R",'Mapa final'!$A$28),"")</f>
        <v/>
      </c>
      <c r="AI8" s="322"/>
      <c r="AJ8" s="322" t="str">
        <f>IF(AND('Mapa final'!$H$34="Muy Alta",'Mapa final'!$L$34="Catastrófico"),CONCATENATE("R",'Mapa final'!$A$34),"")</f>
        <v/>
      </c>
      <c r="AK8" s="322"/>
      <c r="AL8" s="322" t="str">
        <f>IF(AND('Mapa final'!$H$37="Muy Alta",'Mapa final'!$L$37="Catastrófico"),CONCATENATE("R",'Mapa final'!$A$37),"")</f>
        <v/>
      </c>
      <c r="AM8" s="323"/>
      <c r="AN8" s="82"/>
      <c r="AO8" s="355"/>
      <c r="AP8" s="356"/>
      <c r="AQ8" s="356"/>
      <c r="AR8" s="356"/>
      <c r="AS8" s="356"/>
      <c r="AT8" s="357"/>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3">
      <c r="A9" s="82"/>
      <c r="B9" s="350"/>
      <c r="C9" s="350"/>
      <c r="D9" s="351"/>
      <c r="E9" s="343"/>
      <c r="F9" s="344"/>
      <c r="G9" s="344"/>
      <c r="H9" s="344"/>
      <c r="I9" s="345"/>
      <c r="J9" s="330"/>
      <c r="K9" s="331"/>
      <c r="L9" s="331"/>
      <c r="M9" s="331"/>
      <c r="N9" s="331"/>
      <c r="O9" s="332"/>
      <c r="P9" s="330"/>
      <c r="Q9" s="331"/>
      <c r="R9" s="331"/>
      <c r="S9" s="331"/>
      <c r="T9" s="331"/>
      <c r="U9" s="332"/>
      <c r="V9" s="330"/>
      <c r="W9" s="331"/>
      <c r="X9" s="331"/>
      <c r="Y9" s="331"/>
      <c r="Z9" s="331"/>
      <c r="AA9" s="332"/>
      <c r="AB9" s="330"/>
      <c r="AC9" s="331"/>
      <c r="AD9" s="331"/>
      <c r="AE9" s="331"/>
      <c r="AF9" s="331"/>
      <c r="AG9" s="332"/>
      <c r="AH9" s="321"/>
      <c r="AI9" s="322"/>
      <c r="AJ9" s="322"/>
      <c r="AK9" s="322"/>
      <c r="AL9" s="322"/>
      <c r="AM9" s="323"/>
      <c r="AN9" s="82"/>
      <c r="AO9" s="355"/>
      <c r="AP9" s="356"/>
      <c r="AQ9" s="356"/>
      <c r="AR9" s="356"/>
      <c r="AS9" s="356"/>
      <c r="AT9" s="357"/>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3">
      <c r="A10" s="82"/>
      <c r="B10" s="350"/>
      <c r="C10" s="350"/>
      <c r="D10" s="351"/>
      <c r="E10" s="343"/>
      <c r="F10" s="344"/>
      <c r="G10" s="344"/>
      <c r="H10" s="344"/>
      <c r="I10" s="345"/>
      <c r="J10" s="330" t="str">
        <f>IF(AND('Mapa final'!$H$43="Muy Alta",'Mapa final'!$L$43="Leve"),CONCATENATE("R",'Mapa final'!$A$43),"")</f>
        <v/>
      </c>
      <c r="K10" s="331"/>
      <c r="L10" s="331" t="str">
        <f>IF(AND('Mapa final'!$H$49="Muy Alta",'Mapa final'!$L$49="Leve"),CONCATENATE("R",'Mapa final'!$A$49),"")</f>
        <v/>
      </c>
      <c r="M10" s="331"/>
      <c r="N10" s="331" t="str">
        <f>IF(AND('Mapa final'!$H$55="Muy Alta",'Mapa final'!$L$55="Leve"),CONCATENATE("R",'Mapa final'!$A$55),"")</f>
        <v/>
      </c>
      <c r="O10" s="332"/>
      <c r="P10" s="330" t="str">
        <f>IF(AND('Mapa final'!$H$43="Muy Alta",'Mapa final'!$L$43="Menor"),CONCATENATE("R",'Mapa final'!$A$43),"")</f>
        <v/>
      </c>
      <c r="Q10" s="331"/>
      <c r="R10" s="331" t="str">
        <f>IF(AND('Mapa final'!$H$49="Muy Alta",'Mapa final'!$L$49="Menor"),CONCATENATE("R",'Mapa final'!$A$49),"")</f>
        <v/>
      </c>
      <c r="S10" s="331"/>
      <c r="T10" s="331" t="str">
        <f>IF(AND('Mapa final'!$H$55="Muy Alta",'Mapa final'!$L$55="Menor"),CONCATENATE("R",'Mapa final'!$A$55),"")</f>
        <v/>
      </c>
      <c r="U10" s="332"/>
      <c r="V10" s="330" t="str">
        <f>IF(AND('Mapa final'!$H$43="Muy Alta",'Mapa final'!$L$43="Moderado"),CONCATENATE("R",'Mapa final'!$A$43),"")</f>
        <v/>
      </c>
      <c r="W10" s="331"/>
      <c r="X10" s="331" t="str">
        <f>IF(AND('Mapa final'!$H$49="Muy Alta",'Mapa final'!$L$49="Moderado"),CONCATENATE("R",'Mapa final'!$A$49),"")</f>
        <v/>
      </c>
      <c r="Y10" s="331"/>
      <c r="Z10" s="331" t="str">
        <f>IF(AND('Mapa final'!$H$55="Muy Alta",'Mapa final'!$L$55="Moderado"),CONCATENATE("R",'Mapa final'!$A$55),"")</f>
        <v/>
      </c>
      <c r="AA10" s="332"/>
      <c r="AB10" s="330" t="str">
        <f>IF(AND('Mapa final'!$H$43="Muy Alta",'Mapa final'!$L$43="Mayor"),CONCATENATE("R",'Mapa final'!$A$43),"")</f>
        <v/>
      </c>
      <c r="AC10" s="331"/>
      <c r="AD10" s="331" t="str">
        <f>IF(AND('Mapa final'!$H$49="Muy Alta",'Mapa final'!$L$49="Mayor"),CONCATENATE("R",'Mapa final'!$A$49),"")</f>
        <v/>
      </c>
      <c r="AE10" s="331"/>
      <c r="AF10" s="331" t="str">
        <f>IF(AND('Mapa final'!$H$55="Muy Alta",'Mapa final'!$L$55="Mayor"),CONCATENATE("R",'Mapa final'!$A$55),"")</f>
        <v/>
      </c>
      <c r="AG10" s="332"/>
      <c r="AH10" s="321" t="str">
        <f>IF(AND('Mapa final'!$H$43="Muy Alta",'Mapa final'!$L$43="Catastrófico"),CONCATENATE("R",'Mapa final'!$A$43),"")</f>
        <v/>
      </c>
      <c r="AI10" s="322"/>
      <c r="AJ10" s="322" t="str">
        <f>IF(AND('Mapa final'!$H$49="Muy Alta",'Mapa final'!$L$49="Catastrófico"),CONCATENATE("R",'Mapa final'!$A$49),"")</f>
        <v/>
      </c>
      <c r="AK10" s="322"/>
      <c r="AL10" s="322" t="str">
        <f>IF(AND('Mapa final'!$H$55="Muy Alta",'Mapa final'!$L$55="Catastrófico"),CONCATENATE("R",'Mapa final'!$A$55),"")</f>
        <v/>
      </c>
      <c r="AM10" s="323"/>
      <c r="AN10" s="82"/>
      <c r="AO10" s="355"/>
      <c r="AP10" s="356"/>
      <c r="AQ10" s="356"/>
      <c r="AR10" s="356"/>
      <c r="AS10" s="356"/>
      <c r="AT10" s="357"/>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3">
      <c r="A11" s="82"/>
      <c r="B11" s="350"/>
      <c r="C11" s="350"/>
      <c r="D11" s="351"/>
      <c r="E11" s="343"/>
      <c r="F11" s="344"/>
      <c r="G11" s="344"/>
      <c r="H11" s="344"/>
      <c r="I11" s="345"/>
      <c r="J11" s="330"/>
      <c r="K11" s="331"/>
      <c r="L11" s="331"/>
      <c r="M11" s="331"/>
      <c r="N11" s="331"/>
      <c r="O11" s="332"/>
      <c r="P11" s="330"/>
      <c r="Q11" s="331"/>
      <c r="R11" s="331"/>
      <c r="S11" s="331"/>
      <c r="T11" s="331"/>
      <c r="U11" s="332"/>
      <c r="V11" s="330"/>
      <c r="W11" s="331"/>
      <c r="X11" s="331"/>
      <c r="Y11" s="331"/>
      <c r="Z11" s="331"/>
      <c r="AA11" s="332"/>
      <c r="AB11" s="330"/>
      <c r="AC11" s="331"/>
      <c r="AD11" s="331"/>
      <c r="AE11" s="331"/>
      <c r="AF11" s="331"/>
      <c r="AG11" s="332"/>
      <c r="AH11" s="321"/>
      <c r="AI11" s="322"/>
      <c r="AJ11" s="322"/>
      <c r="AK11" s="322"/>
      <c r="AL11" s="322"/>
      <c r="AM11" s="323"/>
      <c r="AN11" s="82"/>
      <c r="AO11" s="355"/>
      <c r="AP11" s="356"/>
      <c r="AQ11" s="356"/>
      <c r="AR11" s="356"/>
      <c r="AS11" s="356"/>
      <c r="AT11" s="357"/>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3">
      <c r="A12" s="82"/>
      <c r="B12" s="350"/>
      <c r="C12" s="350"/>
      <c r="D12" s="351"/>
      <c r="E12" s="343"/>
      <c r="F12" s="344"/>
      <c r="G12" s="344"/>
      <c r="H12" s="344"/>
      <c r="I12" s="345"/>
      <c r="J12" s="330" t="str">
        <f>IF(AND('Mapa final'!$H$61="Muy Alta",'Mapa final'!$L$61="Leve"),CONCATENATE("R",'Mapa final'!$A$61),"")</f>
        <v/>
      </c>
      <c r="K12" s="331"/>
      <c r="L12" s="331" t="str">
        <f>IF(AND('Mapa final'!$H$67="Muy Alta",'Mapa final'!$L$67="Leve"),CONCATENATE("R",'Mapa final'!$A$67),"")</f>
        <v/>
      </c>
      <c r="M12" s="331"/>
      <c r="N12" s="331" t="str">
        <f>IF(AND('Mapa final'!$H$73="Muy Alta",'Mapa final'!$L$73="Leve"),CONCATENATE("R",'Mapa final'!$A$73),"")</f>
        <v/>
      </c>
      <c r="O12" s="332"/>
      <c r="P12" s="330" t="str">
        <f>IF(AND('Mapa final'!$H$61="Muy Alta",'Mapa final'!$L$61="Menor"),CONCATENATE("R",'Mapa final'!$A$61),"")</f>
        <v/>
      </c>
      <c r="Q12" s="331"/>
      <c r="R12" s="331" t="str">
        <f>IF(AND('Mapa final'!$H$67="Muy Alta",'Mapa final'!$L$67="Menor"),CONCATENATE("R",'Mapa final'!$A$67),"")</f>
        <v/>
      </c>
      <c r="S12" s="331"/>
      <c r="T12" s="331" t="str">
        <f>IF(AND('Mapa final'!$H$73="Muy Alta",'Mapa final'!$L$73="Menor"),CONCATENATE("R",'Mapa final'!$A$73),"")</f>
        <v/>
      </c>
      <c r="U12" s="332"/>
      <c r="V12" s="330" t="str">
        <f>IF(AND('Mapa final'!$H$61="Muy Alta",'Mapa final'!$L$61="Moderado"),CONCATENATE("R",'Mapa final'!$A$61),"")</f>
        <v/>
      </c>
      <c r="W12" s="331"/>
      <c r="X12" s="331" t="str">
        <f>IF(AND('Mapa final'!$H$67="Muy Alta",'Mapa final'!$L$67="Moderado"),CONCATENATE("R",'Mapa final'!$A$67),"")</f>
        <v/>
      </c>
      <c r="Y12" s="331"/>
      <c r="Z12" s="331" t="str">
        <f>IF(AND('Mapa final'!$H$73="Muy Alta",'Mapa final'!$L$73="Moderado"),CONCATENATE("R",'Mapa final'!$A$73),"")</f>
        <v/>
      </c>
      <c r="AA12" s="332"/>
      <c r="AB12" s="330" t="str">
        <f>IF(AND('Mapa final'!$H$61="Muy Alta",'Mapa final'!$L$61="Mayor"),CONCATENATE("R",'Mapa final'!$A$61),"")</f>
        <v/>
      </c>
      <c r="AC12" s="331"/>
      <c r="AD12" s="331" t="str">
        <f>IF(AND('Mapa final'!$H$67="Muy Alta",'Mapa final'!$L$67="Mayor"),CONCATENATE("R",'Mapa final'!$A$67),"")</f>
        <v/>
      </c>
      <c r="AE12" s="331"/>
      <c r="AF12" s="331" t="str">
        <f>IF(AND('Mapa final'!$H$73="Muy Alta",'Mapa final'!$L$73="Mayor"),CONCATENATE("R",'Mapa final'!$A$73),"")</f>
        <v/>
      </c>
      <c r="AG12" s="332"/>
      <c r="AH12" s="321" t="str">
        <f>IF(AND('Mapa final'!$H$61="Muy Alta",'Mapa final'!$L$61="Catastrófico"),CONCATENATE("R",'Mapa final'!$A$61),"")</f>
        <v/>
      </c>
      <c r="AI12" s="322"/>
      <c r="AJ12" s="322" t="str">
        <f>IF(AND('Mapa final'!$H$67="Muy Alta",'Mapa final'!$L$67="Catastrófico"),CONCATENATE("R",'Mapa final'!$A$67),"")</f>
        <v/>
      </c>
      <c r="AK12" s="322"/>
      <c r="AL12" s="322" t="str">
        <f>IF(AND('Mapa final'!$H$73="Muy Alta",'Mapa final'!$L$73="Catastrófico"),CONCATENATE("R",'Mapa final'!$A$73),"")</f>
        <v/>
      </c>
      <c r="AM12" s="323"/>
      <c r="AN12" s="82"/>
      <c r="AO12" s="355"/>
      <c r="AP12" s="356"/>
      <c r="AQ12" s="356"/>
      <c r="AR12" s="356"/>
      <c r="AS12" s="356"/>
      <c r="AT12" s="357"/>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5">
      <c r="A13" s="82"/>
      <c r="B13" s="350"/>
      <c r="C13" s="350"/>
      <c r="D13" s="351"/>
      <c r="E13" s="346"/>
      <c r="F13" s="347"/>
      <c r="G13" s="347"/>
      <c r="H13" s="347"/>
      <c r="I13" s="348"/>
      <c r="J13" s="330"/>
      <c r="K13" s="331"/>
      <c r="L13" s="331"/>
      <c r="M13" s="331"/>
      <c r="N13" s="331"/>
      <c r="O13" s="332"/>
      <c r="P13" s="330"/>
      <c r="Q13" s="331"/>
      <c r="R13" s="331"/>
      <c r="S13" s="331"/>
      <c r="T13" s="331"/>
      <c r="U13" s="332"/>
      <c r="V13" s="330"/>
      <c r="W13" s="331"/>
      <c r="X13" s="331"/>
      <c r="Y13" s="331"/>
      <c r="Z13" s="331"/>
      <c r="AA13" s="332"/>
      <c r="AB13" s="330"/>
      <c r="AC13" s="331"/>
      <c r="AD13" s="331"/>
      <c r="AE13" s="331"/>
      <c r="AF13" s="331"/>
      <c r="AG13" s="332"/>
      <c r="AH13" s="324"/>
      <c r="AI13" s="325"/>
      <c r="AJ13" s="325"/>
      <c r="AK13" s="325"/>
      <c r="AL13" s="325"/>
      <c r="AM13" s="326"/>
      <c r="AN13" s="82"/>
      <c r="AO13" s="358"/>
      <c r="AP13" s="359"/>
      <c r="AQ13" s="359"/>
      <c r="AR13" s="359"/>
      <c r="AS13" s="359"/>
      <c r="AT13" s="360"/>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3">
      <c r="A14" s="82"/>
      <c r="B14" s="350"/>
      <c r="C14" s="350"/>
      <c r="D14" s="351"/>
      <c r="E14" s="340" t="s">
        <v>114</v>
      </c>
      <c r="F14" s="341"/>
      <c r="G14" s="341"/>
      <c r="H14" s="341"/>
      <c r="I14" s="341"/>
      <c r="J14" s="318" t="str">
        <f>IF(AND('Mapa final'!$H$10="Alta",'Mapa final'!$L$10="Leve"),CONCATENATE("R",'Mapa final'!$A$10),"")</f>
        <v/>
      </c>
      <c r="K14" s="319"/>
      <c r="L14" s="319" t="str">
        <f>IF(AND('Mapa final'!$H$16="Alta",'Mapa final'!$L$16="Leve"),CONCATENATE("R",'Mapa final'!$A$16),"")</f>
        <v/>
      </c>
      <c r="M14" s="319"/>
      <c r="N14" s="319" t="str">
        <f>IF(AND('Mapa final'!$H$22="Alta",'Mapa final'!$L$22="Leve"),CONCATENATE("R",'Mapa final'!$A$22),"")</f>
        <v/>
      </c>
      <c r="O14" s="320"/>
      <c r="P14" s="318" t="str">
        <f>IF(AND('Mapa final'!$H$10="Alta",'Mapa final'!$L$10="Menor"),CONCATENATE("R",'Mapa final'!$A$10),"")</f>
        <v/>
      </c>
      <c r="Q14" s="319"/>
      <c r="R14" s="319" t="str">
        <f>IF(AND('Mapa final'!$H$16="Alta",'Mapa final'!$L$16="Menor"),CONCATENATE("R",'Mapa final'!$A$16),"")</f>
        <v/>
      </c>
      <c r="S14" s="319"/>
      <c r="T14" s="319" t="str">
        <f>IF(AND('Mapa final'!$H$22="Alta",'Mapa final'!$L$22="Menor"),CONCATENATE("R",'Mapa final'!$A$22),"")</f>
        <v/>
      </c>
      <c r="U14" s="320"/>
      <c r="V14" s="336" t="str">
        <f>IF(AND('Mapa final'!$H$10="Alta",'Mapa final'!$L$10="Moderado"),CONCATENATE("R",'Mapa final'!$A$10),"")</f>
        <v/>
      </c>
      <c r="W14" s="337"/>
      <c r="X14" s="337" t="str">
        <f>IF(AND('Mapa final'!$H$16="Alta",'Mapa final'!$L$16="Moderado"),CONCATENATE("R",'Mapa final'!$A$16),"")</f>
        <v/>
      </c>
      <c r="Y14" s="337"/>
      <c r="Z14" s="337" t="str">
        <f>IF(AND('Mapa final'!$H$22="Alta",'Mapa final'!$L$22="Moderado"),CONCATENATE("R",'Mapa final'!$A$22),"")</f>
        <v/>
      </c>
      <c r="AA14" s="338"/>
      <c r="AB14" s="336" t="str">
        <f>IF(AND('Mapa final'!$H$10="Alta",'Mapa final'!$L$10="Mayor"),CONCATENATE("R",'Mapa final'!$A$10),"")</f>
        <v>R1</v>
      </c>
      <c r="AC14" s="337"/>
      <c r="AD14" s="337" t="str">
        <f>IF(AND('Mapa final'!$H$16="Alta",'Mapa final'!$L$16="Mayor"),CONCATENATE("R",'Mapa final'!$A$16),"")</f>
        <v/>
      </c>
      <c r="AE14" s="337"/>
      <c r="AF14" s="337" t="str">
        <f>IF(AND('Mapa final'!$H$22="Alta",'Mapa final'!$L$22="Mayor"),CONCATENATE("R",'Mapa final'!$A$22),"")</f>
        <v/>
      </c>
      <c r="AG14" s="338"/>
      <c r="AH14" s="327" t="str">
        <f>IF(AND('Mapa final'!$H$10="Alta",'Mapa final'!$L$10="Catastrófico"),CONCATENATE("R",'Mapa final'!$A$10),"")</f>
        <v/>
      </c>
      <c r="AI14" s="328"/>
      <c r="AJ14" s="328" t="str">
        <f>IF(AND('Mapa final'!$H$16="Alta",'Mapa final'!$L$16="Catastrófico"),CONCATENATE("R",'Mapa final'!$A$16),"")</f>
        <v/>
      </c>
      <c r="AK14" s="328"/>
      <c r="AL14" s="328" t="str">
        <f>IF(AND('Mapa final'!$H$22="Alta",'Mapa final'!$L$22="Catastrófico"),CONCATENATE("R",'Mapa final'!$A$22),"")</f>
        <v/>
      </c>
      <c r="AM14" s="329"/>
      <c r="AN14" s="82"/>
      <c r="AO14" s="361" t="s">
        <v>79</v>
      </c>
      <c r="AP14" s="362"/>
      <c r="AQ14" s="362"/>
      <c r="AR14" s="362"/>
      <c r="AS14" s="362"/>
      <c r="AT14" s="363"/>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3">
      <c r="A15" s="82"/>
      <c r="B15" s="350"/>
      <c r="C15" s="350"/>
      <c r="D15" s="351"/>
      <c r="E15" s="343"/>
      <c r="F15" s="344"/>
      <c r="G15" s="344"/>
      <c r="H15" s="344"/>
      <c r="I15" s="344"/>
      <c r="J15" s="312"/>
      <c r="K15" s="313"/>
      <c r="L15" s="313"/>
      <c r="M15" s="313"/>
      <c r="N15" s="313"/>
      <c r="O15" s="314"/>
      <c r="P15" s="312"/>
      <c r="Q15" s="313"/>
      <c r="R15" s="313"/>
      <c r="S15" s="313"/>
      <c r="T15" s="313"/>
      <c r="U15" s="314"/>
      <c r="V15" s="330"/>
      <c r="W15" s="331"/>
      <c r="X15" s="331"/>
      <c r="Y15" s="331"/>
      <c r="Z15" s="331"/>
      <c r="AA15" s="332"/>
      <c r="AB15" s="330"/>
      <c r="AC15" s="331"/>
      <c r="AD15" s="331"/>
      <c r="AE15" s="331"/>
      <c r="AF15" s="331"/>
      <c r="AG15" s="332"/>
      <c r="AH15" s="321"/>
      <c r="AI15" s="322"/>
      <c r="AJ15" s="322"/>
      <c r="AK15" s="322"/>
      <c r="AL15" s="322"/>
      <c r="AM15" s="323"/>
      <c r="AN15" s="82"/>
      <c r="AO15" s="364"/>
      <c r="AP15" s="365"/>
      <c r="AQ15" s="365"/>
      <c r="AR15" s="365"/>
      <c r="AS15" s="365"/>
      <c r="AT15" s="366"/>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3">
      <c r="A16" s="82"/>
      <c r="B16" s="350"/>
      <c r="C16" s="350"/>
      <c r="D16" s="351"/>
      <c r="E16" s="343"/>
      <c r="F16" s="344"/>
      <c r="G16" s="344"/>
      <c r="H16" s="344"/>
      <c r="I16" s="344"/>
      <c r="J16" s="312" t="str">
        <f>IF(AND('Mapa final'!$H$28="Alta",'Mapa final'!$L$28="Leve"),CONCATENATE("R",'Mapa final'!$A$28),"")</f>
        <v/>
      </c>
      <c r="K16" s="313"/>
      <c r="L16" s="313" t="str">
        <f>IF(AND('Mapa final'!$H$34="Alta",'Mapa final'!$L$34="Leve"),CONCATENATE("R",'Mapa final'!$A$34),"")</f>
        <v/>
      </c>
      <c r="M16" s="313"/>
      <c r="N16" s="313" t="str">
        <f>IF(AND('Mapa final'!$H$37="Alta",'Mapa final'!$L$37="Leve"),CONCATENATE("R",'Mapa final'!$A$37),"")</f>
        <v/>
      </c>
      <c r="O16" s="314"/>
      <c r="P16" s="312" t="str">
        <f>IF(AND('Mapa final'!$H$28="Alta",'Mapa final'!$L$28="Menor"),CONCATENATE("R",'Mapa final'!$A$28),"")</f>
        <v/>
      </c>
      <c r="Q16" s="313"/>
      <c r="R16" s="313" t="str">
        <f>IF(AND('Mapa final'!$H$34="Alta",'Mapa final'!$L$34="Menor"),CONCATENATE("R",'Mapa final'!$A$34),"")</f>
        <v/>
      </c>
      <c r="S16" s="313"/>
      <c r="T16" s="313" t="str">
        <f>IF(AND('Mapa final'!$H$37="Alta",'Mapa final'!$L$37="Menor"),CONCATENATE("R",'Mapa final'!$A$37),"")</f>
        <v/>
      </c>
      <c r="U16" s="314"/>
      <c r="V16" s="330" t="str">
        <f>IF(AND('Mapa final'!$H$28="Alta",'Mapa final'!$L$28="Moderado"),CONCATENATE("R",'Mapa final'!$A$28),"")</f>
        <v/>
      </c>
      <c r="W16" s="331"/>
      <c r="X16" s="331" t="str">
        <f>IF(AND('Mapa final'!$H$34="Alta",'Mapa final'!$L$34="Moderado"),CONCATENATE("R",'Mapa final'!$A$34),"")</f>
        <v/>
      </c>
      <c r="Y16" s="331"/>
      <c r="Z16" s="331" t="str">
        <f>IF(AND('Mapa final'!$H$37="Alta",'Mapa final'!$L$37="Moderado"),CONCATENATE("R",'Mapa final'!$A$37),"")</f>
        <v/>
      </c>
      <c r="AA16" s="332"/>
      <c r="AB16" s="330" t="str">
        <f>IF(AND('Mapa final'!$H$28="Alta",'Mapa final'!$L$28="Mayor"),CONCATENATE("R",'Mapa final'!$A$28),"")</f>
        <v/>
      </c>
      <c r="AC16" s="331"/>
      <c r="AD16" s="331" t="str">
        <f>IF(AND('Mapa final'!$H$34="Alta",'Mapa final'!$L$34="Mayor"),CONCATENATE("R",'Mapa final'!$A$34),"")</f>
        <v/>
      </c>
      <c r="AE16" s="331"/>
      <c r="AF16" s="331" t="str">
        <f>IF(AND('Mapa final'!$H$37="Alta",'Mapa final'!$L$37="Mayor"),CONCATENATE("R",'Mapa final'!$A$37),"")</f>
        <v/>
      </c>
      <c r="AG16" s="332"/>
      <c r="AH16" s="321" t="str">
        <f>IF(AND('Mapa final'!$H$28="Alta",'Mapa final'!$L$28="Catastrófico"),CONCATENATE("R",'Mapa final'!$A$28),"")</f>
        <v/>
      </c>
      <c r="AI16" s="322"/>
      <c r="AJ16" s="322" t="str">
        <f>IF(AND('Mapa final'!$H$34="Alta",'Mapa final'!$L$34="Catastrófico"),CONCATENATE("R",'Mapa final'!$A$34),"")</f>
        <v/>
      </c>
      <c r="AK16" s="322"/>
      <c r="AL16" s="322" t="str">
        <f>IF(AND('Mapa final'!$H$37="Alta",'Mapa final'!$L$37="Catastrófico"),CONCATENATE("R",'Mapa final'!$A$37),"")</f>
        <v/>
      </c>
      <c r="AM16" s="323"/>
      <c r="AN16" s="82"/>
      <c r="AO16" s="364"/>
      <c r="AP16" s="365"/>
      <c r="AQ16" s="365"/>
      <c r="AR16" s="365"/>
      <c r="AS16" s="365"/>
      <c r="AT16" s="366"/>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3">
      <c r="A17" s="82"/>
      <c r="B17" s="350"/>
      <c r="C17" s="350"/>
      <c r="D17" s="351"/>
      <c r="E17" s="343"/>
      <c r="F17" s="344"/>
      <c r="G17" s="344"/>
      <c r="H17" s="344"/>
      <c r="I17" s="344"/>
      <c r="J17" s="312"/>
      <c r="K17" s="313"/>
      <c r="L17" s="313"/>
      <c r="M17" s="313"/>
      <c r="N17" s="313"/>
      <c r="O17" s="314"/>
      <c r="P17" s="312"/>
      <c r="Q17" s="313"/>
      <c r="R17" s="313"/>
      <c r="S17" s="313"/>
      <c r="T17" s="313"/>
      <c r="U17" s="314"/>
      <c r="V17" s="330"/>
      <c r="W17" s="331"/>
      <c r="X17" s="331"/>
      <c r="Y17" s="331"/>
      <c r="Z17" s="331"/>
      <c r="AA17" s="332"/>
      <c r="AB17" s="330"/>
      <c r="AC17" s="331"/>
      <c r="AD17" s="331"/>
      <c r="AE17" s="331"/>
      <c r="AF17" s="331"/>
      <c r="AG17" s="332"/>
      <c r="AH17" s="321"/>
      <c r="AI17" s="322"/>
      <c r="AJ17" s="322"/>
      <c r="AK17" s="322"/>
      <c r="AL17" s="322"/>
      <c r="AM17" s="323"/>
      <c r="AN17" s="82"/>
      <c r="AO17" s="364"/>
      <c r="AP17" s="365"/>
      <c r="AQ17" s="365"/>
      <c r="AR17" s="365"/>
      <c r="AS17" s="365"/>
      <c r="AT17" s="366"/>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3">
      <c r="A18" s="82"/>
      <c r="B18" s="350"/>
      <c r="C18" s="350"/>
      <c r="D18" s="351"/>
      <c r="E18" s="343"/>
      <c r="F18" s="344"/>
      <c r="G18" s="344"/>
      <c r="H18" s="344"/>
      <c r="I18" s="344"/>
      <c r="J18" s="312" t="str">
        <f>IF(AND('Mapa final'!$H$43="Alta",'Mapa final'!$L$43="Leve"),CONCATENATE("R",'Mapa final'!$A$43),"")</f>
        <v/>
      </c>
      <c r="K18" s="313"/>
      <c r="L18" s="313" t="str">
        <f>IF(AND('Mapa final'!$H$49="Alta",'Mapa final'!$L$49="Leve"),CONCATENATE("R",'Mapa final'!$A$49),"")</f>
        <v/>
      </c>
      <c r="M18" s="313"/>
      <c r="N18" s="313" t="str">
        <f>IF(AND('Mapa final'!$H$55="Alta",'Mapa final'!$L$55="Leve"),CONCATENATE("R",'Mapa final'!$A$55),"")</f>
        <v/>
      </c>
      <c r="O18" s="314"/>
      <c r="P18" s="312" t="str">
        <f>IF(AND('Mapa final'!$H$43="Alta",'Mapa final'!$L$43="Menor"),CONCATENATE("R",'Mapa final'!$A$43),"")</f>
        <v/>
      </c>
      <c r="Q18" s="313"/>
      <c r="R18" s="313" t="str">
        <f>IF(AND('Mapa final'!$H$49="Alta",'Mapa final'!$L$49="Menor"),CONCATENATE("R",'Mapa final'!$A$49),"")</f>
        <v>R8</v>
      </c>
      <c r="S18" s="313"/>
      <c r="T18" s="313" t="str">
        <f>IF(AND('Mapa final'!$H$55="Alta",'Mapa final'!$L$55="Menor"),CONCATENATE("R",'Mapa final'!$A$55),"")</f>
        <v/>
      </c>
      <c r="U18" s="314"/>
      <c r="V18" s="330" t="str">
        <f>IF(AND('Mapa final'!$H$43="Alta",'Mapa final'!$L$43="Moderado"),CONCATENATE("R",'Mapa final'!$A$43),"")</f>
        <v/>
      </c>
      <c r="W18" s="331"/>
      <c r="X18" s="331" t="str">
        <f>IF(AND('Mapa final'!$H$49="Alta",'Mapa final'!$L$49="Moderado"),CONCATENATE("R",'Mapa final'!$A$49),"")</f>
        <v/>
      </c>
      <c r="Y18" s="331"/>
      <c r="Z18" s="331" t="str">
        <f>IF(AND('Mapa final'!$H$55="Alta",'Mapa final'!$L$55="Moderado"),CONCATENATE("R",'Mapa final'!$A$55),"")</f>
        <v/>
      </c>
      <c r="AA18" s="332"/>
      <c r="AB18" s="330" t="str">
        <f>IF(AND('Mapa final'!$H$43="Alta",'Mapa final'!$L$43="Mayor"),CONCATENATE("R",'Mapa final'!$A$43),"")</f>
        <v/>
      </c>
      <c r="AC18" s="331"/>
      <c r="AD18" s="331" t="str">
        <f>IF(AND('Mapa final'!$H$49="Alta",'Mapa final'!$L$49="Mayor"),CONCATENATE("R",'Mapa final'!$A$49),"")</f>
        <v/>
      </c>
      <c r="AE18" s="331"/>
      <c r="AF18" s="331" t="str">
        <f>IF(AND('Mapa final'!$H$55="Alta",'Mapa final'!$L$55="Mayor"),CONCATENATE("R",'Mapa final'!$A$55),"")</f>
        <v/>
      </c>
      <c r="AG18" s="332"/>
      <c r="AH18" s="321" t="str">
        <f>IF(AND('Mapa final'!$H$43="Alta",'Mapa final'!$L$43="Catastrófico"),CONCATENATE("R",'Mapa final'!$A$43),"")</f>
        <v/>
      </c>
      <c r="AI18" s="322"/>
      <c r="AJ18" s="322" t="str">
        <f>IF(AND('Mapa final'!$H$49="Alta",'Mapa final'!$L$49="Catastrófico"),CONCATENATE("R",'Mapa final'!$A$49),"")</f>
        <v/>
      </c>
      <c r="AK18" s="322"/>
      <c r="AL18" s="322" t="str">
        <f>IF(AND('Mapa final'!$H$55="Alta",'Mapa final'!$L$55="Catastrófico"),CONCATENATE("R",'Mapa final'!$A$55),"")</f>
        <v/>
      </c>
      <c r="AM18" s="323"/>
      <c r="AN18" s="82"/>
      <c r="AO18" s="364"/>
      <c r="AP18" s="365"/>
      <c r="AQ18" s="365"/>
      <c r="AR18" s="365"/>
      <c r="AS18" s="365"/>
      <c r="AT18" s="366"/>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3">
      <c r="A19" s="82"/>
      <c r="B19" s="350"/>
      <c r="C19" s="350"/>
      <c r="D19" s="351"/>
      <c r="E19" s="343"/>
      <c r="F19" s="344"/>
      <c r="G19" s="344"/>
      <c r="H19" s="344"/>
      <c r="I19" s="344"/>
      <c r="J19" s="312"/>
      <c r="K19" s="313"/>
      <c r="L19" s="313"/>
      <c r="M19" s="313"/>
      <c r="N19" s="313"/>
      <c r="O19" s="314"/>
      <c r="P19" s="312"/>
      <c r="Q19" s="313"/>
      <c r="R19" s="313"/>
      <c r="S19" s="313"/>
      <c r="T19" s="313"/>
      <c r="U19" s="314"/>
      <c r="V19" s="330"/>
      <c r="W19" s="331"/>
      <c r="X19" s="331"/>
      <c r="Y19" s="331"/>
      <c r="Z19" s="331"/>
      <c r="AA19" s="332"/>
      <c r="AB19" s="330"/>
      <c r="AC19" s="331"/>
      <c r="AD19" s="331"/>
      <c r="AE19" s="331"/>
      <c r="AF19" s="331"/>
      <c r="AG19" s="332"/>
      <c r="AH19" s="321"/>
      <c r="AI19" s="322"/>
      <c r="AJ19" s="322"/>
      <c r="AK19" s="322"/>
      <c r="AL19" s="322"/>
      <c r="AM19" s="323"/>
      <c r="AN19" s="82"/>
      <c r="AO19" s="364"/>
      <c r="AP19" s="365"/>
      <c r="AQ19" s="365"/>
      <c r="AR19" s="365"/>
      <c r="AS19" s="365"/>
      <c r="AT19" s="366"/>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3">
      <c r="A20" s="82"/>
      <c r="B20" s="350"/>
      <c r="C20" s="350"/>
      <c r="D20" s="351"/>
      <c r="E20" s="343"/>
      <c r="F20" s="344"/>
      <c r="G20" s="344"/>
      <c r="H20" s="344"/>
      <c r="I20" s="344"/>
      <c r="J20" s="312" t="str">
        <f>IF(AND('Mapa final'!$H$61="Alta",'Mapa final'!$L$61="Leve"),CONCATENATE("R",'Mapa final'!$A$61),"")</f>
        <v/>
      </c>
      <c r="K20" s="313"/>
      <c r="L20" s="313" t="str">
        <f>IF(AND('Mapa final'!$H$67="Alta",'Mapa final'!$L$67="Leve"),CONCATENATE("R",'Mapa final'!$A$67),"")</f>
        <v/>
      </c>
      <c r="M20" s="313"/>
      <c r="N20" s="313" t="str">
        <f>IF(AND('Mapa final'!$H$73="Alta",'Mapa final'!$L$73="Leve"),CONCATENATE("R",'Mapa final'!$A$73),"")</f>
        <v/>
      </c>
      <c r="O20" s="314"/>
      <c r="P20" s="312" t="str">
        <f>IF(AND('Mapa final'!$H$61="Alta",'Mapa final'!$L$61="Menor"),CONCATENATE("R",'Mapa final'!$A$61),"")</f>
        <v/>
      </c>
      <c r="Q20" s="313"/>
      <c r="R20" s="313" t="str">
        <f>IF(AND('Mapa final'!$H$67="Alta",'Mapa final'!$L$67="Menor"),CONCATENATE("R",'Mapa final'!$A$67),"")</f>
        <v/>
      </c>
      <c r="S20" s="313"/>
      <c r="T20" s="313" t="str">
        <f>IF(AND('Mapa final'!$H$73="Alta",'Mapa final'!$L$73="Menor"),CONCATENATE("R",'Mapa final'!$A$73),"")</f>
        <v/>
      </c>
      <c r="U20" s="314"/>
      <c r="V20" s="330" t="str">
        <f>IF(AND('Mapa final'!$H$61="Alta",'Mapa final'!$L$61="Moderado"),CONCATENATE("R",'Mapa final'!$A$61),"")</f>
        <v/>
      </c>
      <c r="W20" s="331"/>
      <c r="X20" s="331" t="str">
        <f>IF(AND('Mapa final'!$H$67="Alta",'Mapa final'!$L$67="Moderado"),CONCATENATE("R",'Mapa final'!$A$67),"")</f>
        <v/>
      </c>
      <c r="Y20" s="331"/>
      <c r="Z20" s="331" t="str">
        <f>IF(AND('Mapa final'!$H$73="Alta",'Mapa final'!$L$73="Moderado"),CONCATENATE("R",'Mapa final'!$A$73),"")</f>
        <v/>
      </c>
      <c r="AA20" s="332"/>
      <c r="AB20" s="330" t="str">
        <f>IF(AND('Mapa final'!$H$61="Alta",'Mapa final'!$L$61="Mayor"),CONCATENATE("R",'Mapa final'!$A$61),"")</f>
        <v/>
      </c>
      <c r="AC20" s="331"/>
      <c r="AD20" s="331" t="str">
        <f>IF(AND('Mapa final'!$H$67="Alta",'Mapa final'!$L$67="Mayor"),CONCATENATE("R",'Mapa final'!$A$67),"")</f>
        <v/>
      </c>
      <c r="AE20" s="331"/>
      <c r="AF20" s="331" t="str">
        <f>IF(AND('Mapa final'!$H$73="Alta",'Mapa final'!$L$73="Mayor"),CONCATENATE("R",'Mapa final'!$A$73),"")</f>
        <v/>
      </c>
      <c r="AG20" s="332"/>
      <c r="AH20" s="321" t="str">
        <f>IF(AND('Mapa final'!$H$61="Alta",'Mapa final'!$L$61="Catastrófico"),CONCATENATE("R",'Mapa final'!$A$61),"")</f>
        <v/>
      </c>
      <c r="AI20" s="322"/>
      <c r="AJ20" s="322" t="str">
        <f>IF(AND('Mapa final'!$H$67="Alta",'Mapa final'!$L$67="Catastrófico"),CONCATENATE("R",'Mapa final'!$A$67),"")</f>
        <v/>
      </c>
      <c r="AK20" s="322"/>
      <c r="AL20" s="322" t="str">
        <f>IF(AND('Mapa final'!$H$73="Alta",'Mapa final'!$L$73="Catastrófico"),CONCATENATE("R",'Mapa final'!$A$73),"")</f>
        <v/>
      </c>
      <c r="AM20" s="323"/>
      <c r="AN20" s="82"/>
      <c r="AO20" s="364"/>
      <c r="AP20" s="365"/>
      <c r="AQ20" s="365"/>
      <c r="AR20" s="365"/>
      <c r="AS20" s="365"/>
      <c r="AT20" s="366"/>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5">
      <c r="A21" s="82"/>
      <c r="B21" s="350"/>
      <c r="C21" s="350"/>
      <c r="D21" s="351"/>
      <c r="E21" s="346"/>
      <c r="F21" s="347"/>
      <c r="G21" s="347"/>
      <c r="H21" s="347"/>
      <c r="I21" s="347"/>
      <c r="J21" s="315"/>
      <c r="K21" s="316"/>
      <c r="L21" s="316"/>
      <c r="M21" s="316"/>
      <c r="N21" s="316"/>
      <c r="O21" s="317"/>
      <c r="P21" s="315"/>
      <c r="Q21" s="316"/>
      <c r="R21" s="316"/>
      <c r="S21" s="316"/>
      <c r="T21" s="316"/>
      <c r="U21" s="317"/>
      <c r="V21" s="333"/>
      <c r="W21" s="334"/>
      <c r="X21" s="334"/>
      <c r="Y21" s="334"/>
      <c r="Z21" s="334"/>
      <c r="AA21" s="335"/>
      <c r="AB21" s="333"/>
      <c r="AC21" s="334"/>
      <c r="AD21" s="334"/>
      <c r="AE21" s="334"/>
      <c r="AF21" s="334"/>
      <c r="AG21" s="335"/>
      <c r="AH21" s="324"/>
      <c r="AI21" s="325"/>
      <c r="AJ21" s="325"/>
      <c r="AK21" s="325"/>
      <c r="AL21" s="325"/>
      <c r="AM21" s="326"/>
      <c r="AN21" s="82"/>
      <c r="AO21" s="367"/>
      <c r="AP21" s="368"/>
      <c r="AQ21" s="368"/>
      <c r="AR21" s="368"/>
      <c r="AS21" s="368"/>
      <c r="AT21" s="369"/>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3">
      <c r="A22" s="82"/>
      <c r="B22" s="350"/>
      <c r="C22" s="350"/>
      <c r="D22" s="351"/>
      <c r="E22" s="340" t="s">
        <v>116</v>
      </c>
      <c r="F22" s="341"/>
      <c r="G22" s="341"/>
      <c r="H22" s="341"/>
      <c r="I22" s="342"/>
      <c r="J22" s="318" t="str">
        <f>IF(AND('Mapa final'!$H$10="Media",'Mapa final'!$L$10="Leve"),CONCATENATE("R",'Mapa final'!$A$10),"")</f>
        <v/>
      </c>
      <c r="K22" s="319"/>
      <c r="L22" s="319" t="str">
        <f>IF(AND('Mapa final'!$H$16="Media",'Mapa final'!$L$16="Leve"),CONCATENATE("R",'Mapa final'!$A$16),"")</f>
        <v/>
      </c>
      <c r="M22" s="319"/>
      <c r="N22" s="319" t="str">
        <f>IF(AND('Mapa final'!$H$22="Media",'Mapa final'!$L$22="Leve"),CONCATENATE("R",'Mapa final'!$A$22),"")</f>
        <v/>
      </c>
      <c r="O22" s="320"/>
      <c r="P22" s="318" t="str">
        <f>IF(AND('Mapa final'!$H$10="Media",'Mapa final'!$L$10="Menor"),CONCATENATE("R",'Mapa final'!$A$10),"")</f>
        <v/>
      </c>
      <c r="Q22" s="319"/>
      <c r="R22" s="319" t="str">
        <f>IF(AND('Mapa final'!$H$16="Media",'Mapa final'!$L$16="Menor"),CONCATENATE("R",'Mapa final'!$A$16),"")</f>
        <v/>
      </c>
      <c r="S22" s="319"/>
      <c r="T22" s="319" t="str">
        <f>IF(AND('Mapa final'!$H$22="Media",'Mapa final'!$L$22="Menor"),CONCATENATE("R",'Mapa final'!$A$22),"")</f>
        <v/>
      </c>
      <c r="U22" s="320"/>
      <c r="V22" s="318" t="str">
        <f>IF(AND('Mapa final'!$H$10="Media",'Mapa final'!$L$10="Moderado"),CONCATENATE("R",'Mapa final'!$A$10),"")</f>
        <v/>
      </c>
      <c r="W22" s="319"/>
      <c r="X22" s="319" t="str">
        <f>IF(AND('Mapa final'!$H$16="Media",'Mapa final'!$L$16="Moderado"),CONCATENATE("R",'Mapa final'!$A$16),"")</f>
        <v/>
      </c>
      <c r="Y22" s="319"/>
      <c r="Z22" s="319" t="str">
        <f>IF(AND('Mapa final'!$H$22="Media",'Mapa final'!$L$22="Moderado"),CONCATENATE("R",'Mapa final'!$A$22),"")</f>
        <v/>
      </c>
      <c r="AA22" s="320"/>
      <c r="AB22" s="336" t="str">
        <f>IF(AND('Mapa final'!$H$10="Media",'Mapa final'!$L$10="Mayor"),CONCATENATE("R",'Mapa final'!$A$10),"")</f>
        <v/>
      </c>
      <c r="AC22" s="337"/>
      <c r="AD22" s="337" t="str">
        <f>IF(AND('Mapa final'!$H$16="Media",'Mapa final'!$L$16="Mayor"),CONCATENATE("R",'Mapa final'!$A$16),"")</f>
        <v/>
      </c>
      <c r="AE22" s="337"/>
      <c r="AF22" s="337" t="str">
        <f>IF(AND('Mapa final'!$H$22="Media",'Mapa final'!$L$22="Mayor"),CONCATENATE("R",'Mapa final'!$A$22),"")</f>
        <v/>
      </c>
      <c r="AG22" s="338"/>
      <c r="AH22" s="327" t="str">
        <f>IF(AND('Mapa final'!$H$10="Media",'Mapa final'!$L$10="Catastrófico"),CONCATENATE("R",'Mapa final'!$A$10),"")</f>
        <v/>
      </c>
      <c r="AI22" s="328"/>
      <c r="AJ22" s="328" t="str">
        <f>IF(AND('Mapa final'!$H$16="Media",'Mapa final'!$L$16="Catastrófico"),CONCATENATE("R",'Mapa final'!$A$16),"")</f>
        <v/>
      </c>
      <c r="AK22" s="328"/>
      <c r="AL22" s="328" t="str">
        <f>IF(AND('Mapa final'!$H$22="Media",'Mapa final'!$L$22="Catastrófico"),CONCATENATE("R",'Mapa final'!$A$22),"")</f>
        <v/>
      </c>
      <c r="AM22" s="329"/>
      <c r="AN22" s="82"/>
      <c r="AO22" s="370" t="s">
        <v>80</v>
      </c>
      <c r="AP22" s="371"/>
      <c r="AQ22" s="371"/>
      <c r="AR22" s="371"/>
      <c r="AS22" s="371"/>
      <c r="AT22" s="37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3">
      <c r="A23" s="82"/>
      <c r="B23" s="350"/>
      <c r="C23" s="350"/>
      <c r="D23" s="351"/>
      <c r="E23" s="343"/>
      <c r="F23" s="344"/>
      <c r="G23" s="344"/>
      <c r="H23" s="344"/>
      <c r="I23" s="345"/>
      <c r="J23" s="312"/>
      <c r="K23" s="313"/>
      <c r="L23" s="313"/>
      <c r="M23" s="313"/>
      <c r="N23" s="313"/>
      <c r="O23" s="314"/>
      <c r="P23" s="312"/>
      <c r="Q23" s="313"/>
      <c r="R23" s="313"/>
      <c r="S23" s="313"/>
      <c r="T23" s="313"/>
      <c r="U23" s="314"/>
      <c r="V23" s="312"/>
      <c r="W23" s="313"/>
      <c r="X23" s="313"/>
      <c r="Y23" s="313"/>
      <c r="Z23" s="313"/>
      <c r="AA23" s="314"/>
      <c r="AB23" s="330"/>
      <c r="AC23" s="331"/>
      <c r="AD23" s="331"/>
      <c r="AE23" s="331"/>
      <c r="AF23" s="331"/>
      <c r="AG23" s="332"/>
      <c r="AH23" s="321"/>
      <c r="AI23" s="322"/>
      <c r="AJ23" s="322"/>
      <c r="AK23" s="322"/>
      <c r="AL23" s="322"/>
      <c r="AM23" s="323"/>
      <c r="AN23" s="82"/>
      <c r="AO23" s="373"/>
      <c r="AP23" s="374"/>
      <c r="AQ23" s="374"/>
      <c r="AR23" s="374"/>
      <c r="AS23" s="374"/>
      <c r="AT23" s="375"/>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3">
      <c r="A24" s="82"/>
      <c r="B24" s="350"/>
      <c r="C24" s="350"/>
      <c r="D24" s="351"/>
      <c r="E24" s="343"/>
      <c r="F24" s="344"/>
      <c r="G24" s="344"/>
      <c r="H24" s="344"/>
      <c r="I24" s="345"/>
      <c r="J24" s="312" t="str">
        <f>IF(AND('Mapa final'!$H$28="Media",'Mapa final'!$L$28="Leve"),CONCATENATE("R",'Mapa final'!$A$28),"")</f>
        <v/>
      </c>
      <c r="K24" s="313"/>
      <c r="L24" s="313" t="str">
        <f>IF(AND('Mapa final'!$H$34="Media",'Mapa final'!$L$34="Leve"),CONCATENATE("R",'Mapa final'!$A$34),"")</f>
        <v/>
      </c>
      <c r="M24" s="313"/>
      <c r="N24" s="313" t="str">
        <f>IF(AND('Mapa final'!$H$37="Media",'Mapa final'!$L$37="Leve"),CONCATENATE("R",'Mapa final'!$A$37),"")</f>
        <v/>
      </c>
      <c r="O24" s="314"/>
      <c r="P24" s="312" t="str">
        <f>IF(AND('Mapa final'!$H$28="Media",'Mapa final'!$L$28="Menor"),CONCATENATE("R",'Mapa final'!$A$28),"")</f>
        <v/>
      </c>
      <c r="Q24" s="313"/>
      <c r="R24" s="313" t="str">
        <f>IF(AND('Mapa final'!$H$34="Media",'Mapa final'!$L$34="Menor"),CONCATENATE("R",'Mapa final'!$A$34),"")</f>
        <v/>
      </c>
      <c r="S24" s="313"/>
      <c r="T24" s="313" t="str">
        <f>IF(AND('Mapa final'!$H$37="Media",'Mapa final'!$L$37="Menor"),CONCATENATE("R",'Mapa final'!$A$37),"")</f>
        <v/>
      </c>
      <c r="U24" s="314"/>
      <c r="V24" s="312" t="str">
        <f>IF(AND('Mapa final'!$H$28="Media",'Mapa final'!$L$28="Moderado"),CONCATENATE("R",'Mapa final'!$A$28),"")</f>
        <v/>
      </c>
      <c r="W24" s="313"/>
      <c r="X24" s="313" t="str">
        <f>IF(AND('Mapa final'!$H$34="Media",'Mapa final'!$L$34="Moderado"),CONCATENATE("R",'Mapa final'!$A$34),"")</f>
        <v/>
      </c>
      <c r="Y24" s="313"/>
      <c r="Z24" s="313" t="str">
        <f>IF(AND('Mapa final'!$H$37="Media",'Mapa final'!$L$37="Moderado"),CONCATENATE("R",'Mapa final'!$A$37),"")</f>
        <v>R6</v>
      </c>
      <c r="AA24" s="314"/>
      <c r="AB24" s="330" t="str">
        <f>IF(AND('Mapa final'!$H$28="Media",'Mapa final'!$L$28="Mayor"),CONCATENATE("R",'Mapa final'!$A$28),"")</f>
        <v/>
      </c>
      <c r="AC24" s="331"/>
      <c r="AD24" s="331" t="str">
        <f>IF(AND('Mapa final'!$H$34="Media",'Mapa final'!$L$34="Mayor"),CONCATENATE("R",'Mapa final'!$A$34),"")</f>
        <v/>
      </c>
      <c r="AE24" s="331"/>
      <c r="AF24" s="331" t="str">
        <f>IF(AND('Mapa final'!$H$37="Media",'Mapa final'!$L$37="Mayor"),CONCATENATE("R",'Mapa final'!$A$37),"")</f>
        <v/>
      </c>
      <c r="AG24" s="332"/>
      <c r="AH24" s="321" t="str">
        <f>IF(AND('Mapa final'!$H$28="Media",'Mapa final'!$L$28="Catastrófico"),CONCATENATE("R",'Mapa final'!$A$28),"")</f>
        <v/>
      </c>
      <c r="AI24" s="322"/>
      <c r="AJ24" s="322" t="str">
        <f>IF(AND('Mapa final'!$H$34="Media",'Mapa final'!$L$34="Catastrófico"),CONCATENATE("R",'Mapa final'!$A$34),"")</f>
        <v/>
      </c>
      <c r="AK24" s="322"/>
      <c r="AL24" s="322" t="str">
        <f>IF(AND('Mapa final'!$H$37="Media",'Mapa final'!$L$37="Catastrófico"),CONCATENATE("R",'Mapa final'!$A$37),"")</f>
        <v/>
      </c>
      <c r="AM24" s="323"/>
      <c r="AN24" s="82"/>
      <c r="AO24" s="373"/>
      <c r="AP24" s="374"/>
      <c r="AQ24" s="374"/>
      <c r="AR24" s="374"/>
      <c r="AS24" s="374"/>
      <c r="AT24" s="375"/>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3">
      <c r="A25" s="82"/>
      <c r="B25" s="350"/>
      <c r="C25" s="350"/>
      <c r="D25" s="351"/>
      <c r="E25" s="343"/>
      <c r="F25" s="344"/>
      <c r="G25" s="344"/>
      <c r="H25" s="344"/>
      <c r="I25" s="345"/>
      <c r="J25" s="312"/>
      <c r="K25" s="313"/>
      <c r="L25" s="313"/>
      <c r="M25" s="313"/>
      <c r="N25" s="313"/>
      <c r="O25" s="314"/>
      <c r="P25" s="312"/>
      <c r="Q25" s="313"/>
      <c r="R25" s="313"/>
      <c r="S25" s="313"/>
      <c r="T25" s="313"/>
      <c r="U25" s="314"/>
      <c r="V25" s="312"/>
      <c r="W25" s="313"/>
      <c r="X25" s="313"/>
      <c r="Y25" s="313"/>
      <c r="Z25" s="313"/>
      <c r="AA25" s="314"/>
      <c r="AB25" s="330"/>
      <c r="AC25" s="331"/>
      <c r="AD25" s="331"/>
      <c r="AE25" s="331"/>
      <c r="AF25" s="331"/>
      <c r="AG25" s="332"/>
      <c r="AH25" s="321"/>
      <c r="AI25" s="322"/>
      <c r="AJ25" s="322"/>
      <c r="AK25" s="322"/>
      <c r="AL25" s="322"/>
      <c r="AM25" s="323"/>
      <c r="AN25" s="82"/>
      <c r="AO25" s="373"/>
      <c r="AP25" s="374"/>
      <c r="AQ25" s="374"/>
      <c r="AR25" s="374"/>
      <c r="AS25" s="374"/>
      <c r="AT25" s="375"/>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3">
      <c r="A26" s="82"/>
      <c r="B26" s="350"/>
      <c r="C26" s="350"/>
      <c r="D26" s="351"/>
      <c r="E26" s="343"/>
      <c r="F26" s="344"/>
      <c r="G26" s="344"/>
      <c r="H26" s="344"/>
      <c r="I26" s="345"/>
      <c r="J26" s="312" t="str">
        <f>IF(AND('Mapa final'!$H$43="Media",'Mapa final'!$L$43="Leve"),CONCATENATE("R",'Mapa final'!$A$43),"")</f>
        <v/>
      </c>
      <c r="K26" s="313"/>
      <c r="L26" s="313" t="str">
        <f>IF(AND('Mapa final'!$H$49="Media",'Mapa final'!$L$49="Leve"),CONCATENATE("R",'Mapa final'!$A$49),"")</f>
        <v/>
      </c>
      <c r="M26" s="313"/>
      <c r="N26" s="313" t="str">
        <f>IF(AND('Mapa final'!$H$55="Media",'Mapa final'!$L$55="Leve"),CONCATENATE("R",'Mapa final'!$A$55),"")</f>
        <v/>
      </c>
      <c r="O26" s="314"/>
      <c r="P26" s="312" t="str">
        <f>IF(AND('Mapa final'!$H$43="Media",'Mapa final'!$L$43="Menor"),CONCATENATE("R",'Mapa final'!$A$43),"")</f>
        <v/>
      </c>
      <c r="Q26" s="313"/>
      <c r="R26" s="313" t="str">
        <f>IF(AND('Mapa final'!$H$49="Media",'Mapa final'!$L$49="Menor"),CONCATENATE("R",'Mapa final'!$A$49),"")</f>
        <v/>
      </c>
      <c r="S26" s="313"/>
      <c r="T26" s="313" t="str">
        <f>IF(AND('Mapa final'!$H$55="Media",'Mapa final'!$L$55="Menor"),CONCATENATE("R",'Mapa final'!$A$55),"")</f>
        <v/>
      </c>
      <c r="U26" s="314"/>
      <c r="V26" s="312" t="str">
        <f>IF(AND('Mapa final'!$H$43="Media",'Mapa final'!$L$43="Moderado"),CONCATENATE("R",'Mapa final'!$A$43),"")</f>
        <v>R7</v>
      </c>
      <c r="W26" s="313"/>
      <c r="X26" s="313" t="str">
        <f>IF(AND('Mapa final'!$H$49="Media",'Mapa final'!$L$49="Moderado"),CONCATENATE("R",'Mapa final'!$A$49),"")</f>
        <v/>
      </c>
      <c r="Y26" s="313"/>
      <c r="Z26" s="313" t="str">
        <f>IF(AND('Mapa final'!$H$55="Media",'Mapa final'!$L$55="Moderado"),CONCATENATE("R",'Mapa final'!$A$55),"")</f>
        <v/>
      </c>
      <c r="AA26" s="314"/>
      <c r="AB26" s="330" t="str">
        <f>IF(AND('Mapa final'!$H$43="Media",'Mapa final'!$L$43="Mayor"),CONCATENATE("R",'Mapa final'!$A$43),"")</f>
        <v/>
      </c>
      <c r="AC26" s="331"/>
      <c r="AD26" s="331" t="str">
        <f>IF(AND('Mapa final'!$H$49="Media",'Mapa final'!$L$49="Mayor"),CONCATENATE("R",'Mapa final'!$A$49),"")</f>
        <v/>
      </c>
      <c r="AE26" s="331"/>
      <c r="AF26" s="331" t="str">
        <f>IF(AND('Mapa final'!$H$55="Media",'Mapa final'!$L$55="Mayor"),CONCATENATE("R",'Mapa final'!$A$55),"")</f>
        <v/>
      </c>
      <c r="AG26" s="332"/>
      <c r="AH26" s="321" t="str">
        <f>IF(AND('Mapa final'!$H$43="Media",'Mapa final'!$L$43="Catastrófico"),CONCATENATE("R",'Mapa final'!$A$43),"")</f>
        <v/>
      </c>
      <c r="AI26" s="322"/>
      <c r="AJ26" s="322" t="str">
        <f>IF(AND('Mapa final'!$H$49="Media",'Mapa final'!$L$49="Catastrófico"),CONCATENATE("R",'Mapa final'!$A$49),"")</f>
        <v/>
      </c>
      <c r="AK26" s="322"/>
      <c r="AL26" s="322" t="str">
        <f>IF(AND('Mapa final'!$H$55="Media",'Mapa final'!$L$55="Catastrófico"),CONCATENATE("R",'Mapa final'!$A$55),"")</f>
        <v/>
      </c>
      <c r="AM26" s="323"/>
      <c r="AN26" s="82"/>
      <c r="AO26" s="373"/>
      <c r="AP26" s="374"/>
      <c r="AQ26" s="374"/>
      <c r="AR26" s="374"/>
      <c r="AS26" s="374"/>
      <c r="AT26" s="375"/>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3">
      <c r="A27" s="82"/>
      <c r="B27" s="350"/>
      <c r="C27" s="350"/>
      <c r="D27" s="351"/>
      <c r="E27" s="343"/>
      <c r="F27" s="344"/>
      <c r="G27" s="344"/>
      <c r="H27" s="344"/>
      <c r="I27" s="345"/>
      <c r="J27" s="312"/>
      <c r="K27" s="313"/>
      <c r="L27" s="313"/>
      <c r="M27" s="313"/>
      <c r="N27" s="313"/>
      <c r="O27" s="314"/>
      <c r="P27" s="312"/>
      <c r="Q27" s="313"/>
      <c r="R27" s="313"/>
      <c r="S27" s="313"/>
      <c r="T27" s="313"/>
      <c r="U27" s="314"/>
      <c r="V27" s="312"/>
      <c r="W27" s="313"/>
      <c r="X27" s="313"/>
      <c r="Y27" s="313"/>
      <c r="Z27" s="313"/>
      <c r="AA27" s="314"/>
      <c r="AB27" s="330"/>
      <c r="AC27" s="331"/>
      <c r="AD27" s="331"/>
      <c r="AE27" s="331"/>
      <c r="AF27" s="331"/>
      <c r="AG27" s="332"/>
      <c r="AH27" s="321"/>
      <c r="AI27" s="322"/>
      <c r="AJ27" s="322"/>
      <c r="AK27" s="322"/>
      <c r="AL27" s="322"/>
      <c r="AM27" s="323"/>
      <c r="AN27" s="82"/>
      <c r="AO27" s="373"/>
      <c r="AP27" s="374"/>
      <c r="AQ27" s="374"/>
      <c r="AR27" s="374"/>
      <c r="AS27" s="374"/>
      <c r="AT27" s="375"/>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3">
      <c r="A28" s="82"/>
      <c r="B28" s="350"/>
      <c r="C28" s="350"/>
      <c r="D28" s="351"/>
      <c r="E28" s="343"/>
      <c r="F28" s="344"/>
      <c r="G28" s="344"/>
      <c r="H28" s="344"/>
      <c r="I28" s="345"/>
      <c r="J28" s="312" t="str">
        <f>IF(AND('Mapa final'!$H$61="Media",'Mapa final'!$L$61="Leve"),CONCATENATE("R",'Mapa final'!$A$61),"")</f>
        <v/>
      </c>
      <c r="K28" s="313"/>
      <c r="L28" s="313" t="str">
        <f>IF(AND('Mapa final'!$H$67="Media",'Mapa final'!$L$67="Leve"),CONCATENATE("R",'Mapa final'!$A$67),"")</f>
        <v/>
      </c>
      <c r="M28" s="313"/>
      <c r="N28" s="313" t="str">
        <f>IF(AND('Mapa final'!$H$73="Media",'Mapa final'!$L$73="Leve"),CONCATENATE("R",'Mapa final'!$A$73),"")</f>
        <v/>
      </c>
      <c r="O28" s="314"/>
      <c r="P28" s="312" t="str">
        <f>IF(AND('Mapa final'!$H$61="Media",'Mapa final'!$L$61="Menor"),CONCATENATE("R",'Mapa final'!$A$61),"")</f>
        <v/>
      </c>
      <c r="Q28" s="313"/>
      <c r="R28" s="313" t="str">
        <f>IF(AND('Mapa final'!$H$67="Media",'Mapa final'!$L$67="Menor"),CONCATENATE("R",'Mapa final'!$A$67),"")</f>
        <v/>
      </c>
      <c r="S28" s="313"/>
      <c r="T28" s="313" t="str">
        <f>IF(AND('Mapa final'!$H$73="Media",'Mapa final'!$L$73="Menor"),CONCATENATE("R",'Mapa final'!$A$73),"")</f>
        <v/>
      </c>
      <c r="U28" s="314"/>
      <c r="V28" s="312" t="str">
        <f>IF(AND('Mapa final'!$H$61="Media",'Mapa final'!$L$61="Moderado"),CONCATENATE("R",'Mapa final'!$A$61),"")</f>
        <v/>
      </c>
      <c r="W28" s="313"/>
      <c r="X28" s="313" t="str">
        <f>IF(AND('Mapa final'!$H$67="Media",'Mapa final'!$L$67="Moderado"),CONCATENATE("R",'Mapa final'!$A$67),"")</f>
        <v/>
      </c>
      <c r="Y28" s="313"/>
      <c r="Z28" s="313" t="str">
        <f>IF(AND('Mapa final'!$H$73="Media",'Mapa final'!$L$73="Moderado"),CONCATENATE("R",'Mapa final'!$A$73),"")</f>
        <v/>
      </c>
      <c r="AA28" s="314"/>
      <c r="AB28" s="330" t="str">
        <f>IF(AND('Mapa final'!$H$61="Media",'Mapa final'!$L$61="Mayor"),CONCATENATE("R",'Mapa final'!$A$61),"")</f>
        <v/>
      </c>
      <c r="AC28" s="331"/>
      <c r="AD28" s="331" t="str">
        <f>IF(AND('Mapa final'!$H$67="Media",'Mapa final'!$L$67="Mayor"),CONCATENATE("R",'Mapa final'!$A$67),"")</f>
        <v/>
      </c>
      <c r="AE28" s="331"/>
      <c r="AF28" s="331" t="str">
        <f>IF(AND('Mapa final'!$H$73="Media",'Mapa final'!$L$73="Mayor"),CONCATENATE("R",'Mapa final'!$A$73),"")</f>
        <v/>
      </c>
      <c r="AG28" s="332"/>
      <c r="AH28" s="321" t="str">
        <f>IF(AND('Mapa final'!$H$61="Media",'Mapa final'!$L$61="Catastrófico"),CONCATENATE("R",'Mapa final'!$A$61),"")</f>
        <v/>
      </c>
      <c r="AI28" s="322"/>
      <c r="AJ28" s="322" t="str">
        <f>IF(AND('Mapa final'!$H$67="Media",'Mapa final'!$L$67="Catastrófico"),CONCATENATE("R",'Mapa final'!$A$67),"")</f>
        <v/>
      </c>
      <c r="AK28" s="322"/>
      <c r="AL28" s="322" t="str">
        <f>IF(AND('Mapa final'!$H$73="Media",'Mapa final'!$L$73="Catastrófico"),CONCATENATE("R",'Mapa final'!$A$73),"")</f>
        <v/>
      </c>
      <c r="AM28" s="323"/>
      <c r="AN28" s="82"/>
      <c r="AO28" s="373"/>
      <c r="AP28" s="374"/>
      <c r="AQ28" s="374"/>
      <c r="AR28" s="374"/>
      <c r="AS28" s="374"/>
      <c r="AT28" s="375"/>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 thickBot="1" x14ac:dyDescent="0.35">
      <c r="A29" s="82"/>
      <c r="B29" s="350"/>
      <c r="C29" s="350"/>
      <c r="D29" s="351"/>
      <c r="E29" s="346"/>
      <c r="F29" s="347"/>
      <c r="G29" s="347"/>
      <c r="H29" s="347"/>
      <c r="I29" s="348"/>
      <c r="J29" s="312"/>
      <c r="K29" s="313"/>
      <c r="L29" s="313"/>
      <c r="M29" s="313"/>
      <c r="N29" s="313"/>
      <c r="O29" s="314"/>
      <c r="P29" s="315"/>
      <c r="Q29" s="316"/>
      <c r="R29" s="316"/>
      <c r="S29" s="316"/>
      <c r="T29" s="316"/>
      <c r="U29" s="317"/>
      <c r="V29" s="315"/>
      <c r="W29" s="316"/>
      <c r="X29" s="316"/>
      <c r="Y29" s="316"/>
      <c r="Z29" s="316"/>
      <c r="AA29" s="317"/>
      <c r="AB29" s="333"/>
      <c r="AC29" s="334"/>
      <c r="AD29" s="334"/>
      <c r="AE29" s="334"/>
      <c r="AF29" s="334"/>
      <c r="AG29" s="335"/>
      <c r="AH29" s="324"/>
      <c r="AI29" s="325"/>
      <c r="AJ29" s="325"/>
      <c r="AK29" s="325"/>
      <c r="AL29" s="325"/>
      <c r="AM29" s="326"/>
      <c r="AN29" s="82"/>
      <c r="AO29" s="376"/>
      <c r="AP29" s="377"/>
      <c r="AQ29" s="377"/>
      <c r="AR29" s="377"/>
      <c r="AS29" s="377"/>
      <c r="AT29" s="378"/>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3">
      <c r="A30" s="82"/>
      <c r="B30" s="350"/>
      <c r="C30" s="350"/>
      <c r="D30" s="351"/>
      <c r="E30" s="340" t="s">
        <v>113</v>
      </c>
      <c r="F30" s="341"/>
      <c r="G30" s="341"/>
      <c r="H30" s="341"/>
      <c r="I30" s="341"/>
      <c r="J30" s="309" t="str">
        <f>IF(AND('Mapa final'!$H$10="Baja",'Mapa final'!$L$10="Leve"),CONCATENATE("R",'Mapa final'!$A$10),"")</f>
        <v/>
      </c>
      <c r="K30" s="310"/>
      <c r="L30" s="310" t="str">
        <f>IF(AND('Mapa final'!$H$16="Baja",'Mapa final'!$L$16="Leve"),CONCATENATE("R",'Mapa final'!$A$16),"")</f>
        <v/>
      </c>
      <c r="M30" s="310"/>
      <c r="N30" s="310" t="str">
        <f>IF(AND('Mapa final'!$H$22="Baja",'Mapa final'!$L$22="Leve"),CONCATENATE("R",'Mapa final'!$A$22),"")</f>
        <v/>
      </c>
      <c r="O30" s="311"/>
      <c r="P30" s="319" t="str">
        <f>IF(AND('Mapa final'!$H$10="Baja",'Mapa final'!$L$10="Menor"),CONCATENATE("R",'Mapa final'!$A$10),"")</f>
        <v/>
      </c>
      <c r="Q30" s="319"/>
      <c r="R30" s="319" t="str">
        <f>IF(AND('Mapa final'!$H$16="Baja",'Mapa final'!$L$16="Menor"),CONCATENATE("R",'Mapa final'!$A$16),"")</f>
        <v/>
      </c>
      <c r="S30" s="319"/>
      <c r="T30" s="319" t="str">
        <f>IF(AND('Mapa final'!$H$22="Baja",'Mapa final'!$L$22="Menor"),CONCATENATE("R",'Mapa final'!$A$22),"")</f>
        <v/>
      </c>
      <c r="U30" s="320"/>
      <c r="V30" s="318" t="str">
        <f>IF(AND('Mapa final'!$H$10="Baja",'Mapa final'!$L$10="Moderado"),CONCATENATE("R",'Mapa final'!$A$10),"")</f>
        <v/>
      </c>
      <c r="W30" s="319"/>
      <c r="X30" s="319" t="str">
        <f>IF(AND('Mapa final'!$H$16="Baja",'Mapa final'!$L$16="Moderado"),CONCATENATE("R",'Mapa final'!$A$16),"")</f>
        <v/>
      </c>
      <c r="Y30" s="319"/>
      <c r="Z30" s="319" t="str">
        <f>IF(AND('Mapa final'!$H$22="Baja",'Mapa final'!$L$22="Moderado"),CONCATENATE("R",'Mapa final'!$A$22),"")</f>
        <v>R3</v>
      </c>
      <c r="AA30" s="320"/>
      <c r="AB30" s="336" t="str">
        <f>IF(AND('Mapa final'!$H$10="Baja",'Mapa final'!$L$10="Mayor"),CONCATENATE("R",'Mapa final'!$A$10),"")</f>
        <v/>
      </c>
      <c r="AC30" s="337"/>
      <c r="AD30" s="337" t="str">
        <f>IF(AND('Mapa final'!$H$16="Baja",'Mapa final'!$L$16="Mayor"),CONCATENATE("R",'Mapa final'!$A$16),"")</f>
        <v>R2</v>
      </c>
      <c r="AE30" s="337"/>
      <c r="AF30" s="337" t="str">
        <f>IF(AND('Mapa final'!$H$22="Baja",'Mapa final'!$L$22="Mayor"),CONCATENATE("R",'Mapa final'!$A$22),"")</f>
        <v/>
      </c>
      <c r="AG30" s="338"/>
      <c r="AH30" s="327" t="str">
        <f>IF(AND('Mapa final'!$H$10="Baja",'Mapa final'!$L$10="Catastrófico"),CONCATENATE("R",'Mapa final'!$A$10),"")</f>
        <v/>
      </c>
      <c r="AI30" s="328"/>
      <c r="AJ30" s="328" t="str">
        <f>IF(AND('Mapa final'!$H$16="Baja",'Mapa final'!$L$16="Catastrófico"),CONCATENATE("R",'Mapa final'!$A$16),"")</f>
        <v/>
      </c>
      <c r="AK30" s="328"/>
      <c r="AL30" s="328" t="str">
        <f>IF(AND('Mapa final'!$H$22="Baja",'Mapa final'!$L$22="Catastrófico"),CONCATENATE("R",'Mapa final'!$A$22),"")</f>
        <v/>
      </c>
      <c r="AM30" s="329"/>
      <c r="AN30" s="82"/>
      <c r="AO30" s="379" t="s">
        <v>81</v>
      </c>
      <c r="AP30" s="380"/>
      <c r="AQ30" s="380"/>
      <c r="AR30" s="380"/>
      <c r="AS30" s="380"/>
      <c r="AT30" s="381"/>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3">
      <c r="A31" s="82"/>
      <c r="B31" s="350"/>
      <c r="C31" s="350"/>
      <c r="D31" s="351"/>
      <c r="E31" s="343"/>
      <c r="F31" s="344"/>
      <c r="G31" s="344"/>
      <c r="H31" s="344"/>
      <c r="I31" s="344"/>
      <c r="J31" s="303"/>
      <c r="K31" s="304"/>
      <c r="L31" s="304"/>
      <c r="M31" s="304"/>
      <c r="N31" s="304"/>
      <c r="O31" s="305"/>
      <c r="P31" s="313"/>
      <c r="Q31" s="313"/>
      <c r="R31" s="313"/>
      <c r="S31" s="313"/>
      <c r="T31" s="313"/>
      <c r="U31" s="314"/>
      <c r="V31" s="312"/>
      <c r="W31" s="313"/>
      <c r="X31" s="313"/>
      <c r="Y31" s="313"/>
      <c r="Z31" s="313"/>
      <c r="AA31" s="314"/>
      <c r="AB31" s="330"/>
      <c r="AC31" s="331"/>
      <c r="AD31" s="331"/>
      <c r="AE31" s="331"/>
      <c r="AF31" s="331"/>
      <c r="AG31" s="332"/>
      <c r="AH31" s="321"/>
      <c r="AI31" s="322"/>
      <c r="AJ31" s="322"/>
      <c r="AK31" s="322"/>
      <c r="AL31" s="322"/>
      <c r="AM31" s="323"/>
      <c r="AN31" s="82"/>
      <c r="AO31" s="382"/>
      <c r="AP31" s="383"/>
      <c r="AQ31" s="383"/>
      <c r="AR31" s="383"/>
      <c r="AS31" s="383"/>
      <c r="AT31" s="384"/>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3">
      <c r="A32" s="82"/>
      <c r="B32" s="350"/>
      <c r="C32" s="350"/>
      <c r="D32" s="351"/>
      <c r="E32" s="343"/>
      <c r="F32" s="344"/>
      <c r="G32" s="344"/>
      <c r="H32" s="344"/>
      <c r="I32" s="344"/>
      <c r="J32" s="303" t="str">
        <f>IF(AND('Mapa final'!$H$28="Baja",'Mapa final'!$L$28="Leve"),CONCATENATE("R",'Mapa final'!$A$28),"")</f>
        <v/>
      </c>
      <c r="K32" s="304"/>
      <c r="L32" s="304" t="str">
        <f>IF(AND('Mapa final'!$H$34="Baja",'Mapa final'!$L$34="Leve"),CONCATENATE("R",'Mapa final'!$A$34),"")</f>
        <v/>
      </c>
      <c r="M32" s="304"/>
      <c r="N32" s="304" t="str">
        <f>IF(AND('Mapa final'!$H$37="Baja",'Mapa final'!$L$37="Leve"),CONCATENATE("R",'Mapa final'!$A$37),"")</f>
        <v/>
      </c>
      <c r="O32" s="305"/>
      <c r="P32" s="313" t="str">
        <f>IF(AND('Mapa final'!$H$28="Baja",'Mapa final'!$L$28="Menor"),CONCATENATE("R",'Mapa final'!$A$28),"")</f>
        <v/>
      </c>
      <c r="Q32" s="313"/>
      <c r="R32" s="313" t="str">
        <f>IF(AND('Mapa final'!$H$34="Baja",'Mapa final'!$L$34="Menor"),CONCATENATE("R",'Mapa final'!$A$34),"")</f>
        <v/>
      </c>
      <c r="S32" s="313"/>
      <c r="T32" s="313" t="str">
        <f>IF(AND('Mapa final'!$H$37="Baja",'Mapa final'!$L$37="Menor"),CONCATENATE("R",'Mapa final'!$A$37),"")</f>
        <v/>
      </c>
      <c r="U32" s="314"/>
      <c r="V32" s="312" t="str">
        <f>IF(AND('Mapa final'!$H$28="Baja",'Mapa final'!$L$28="Moderado"),CONCATENATE("R",'Mapa final'!$A$28),"")</f>
        <v/>
      </c>
      <c r="W32" s="313"/>
      <c r="X32" s="313" t="str">
        <f>IF(AND('Mapa final'!$H$34="Baja",'Mapa final'!$L$34="Moderado"),CONCATENATE("R",'Mapa final'!$A$34),"")</f>
        <v/>
      </c>
      <c r="Y32" s="313"/>
      <c r="Z32" s="313" t="str">
        <f>IF(AND('Mapa final'!$H$37="Baja",'Mapa final'!$L$37="Moderado"),CONCATENATE("R",'Mapa final'!$A$37),"")</f>
        <v/>
      </c>
      <c r="AA32" s="314"/>
      <c r="AB32" s="330" t="str">
        <f>IF(AND('Mapa final'!$H$28="Baja",'Mapa final'!$L$28="Mayor"),CONCATENATE("R",'Mapa final'!$A$28),"")</f>
        <v/>
      </c>
      <c r="AC32" s="331"/>
      <c r="AD32" s="331" t="str">
        <f>IF(AND('Mapa final'!$H$34="Baja",'Mapa final'!$L$34="Mayor"),CONCATENATE("R",'Mapa final'!$A$34),"")</f>
        <v/>
      </c>
      <c r="AE32" s="331"/>
      <c r="AF32" s="331" t="str">
        <f>IF(AND('Mapa final'!$H$37="Baja",'Mapa final'!$L$37="Mayor"),CONCATENATE("R",'Mapa final'!$A$37),"")</f>
        <v/>
      </c>
      <c r="AG32" s="332"/>
      <c r="AH32" s="321" t="str">
        <f>IF(AND('Mapa final'!$H$28="Baja",'Mapa final'!$L$28="Catastrófico"),CONCATENATE("R",'Mapa final'!$A$28),"")</f>
        <v/>
      </c>
      <c r="AI32" s="322"/>
      <c r="AJ32" s="322" t="str">
        <f>IF(AND('Mapa final'!$H$34="Baja",'Mapa final'!$L$34="Catastrófico"),CONCATENATE("R",'Mapa final'!$A$34),"")</f>
        <v>R5</v>
      </c>
      <c r="AK32" s="322"/>
      <c r="AL32" s="322" t="str">
        <f>IF(AND('Mapa final'!$H$37="Baja",'Mapa final'!$L$37="Catastrófico"),CONCATENATE("R",'Mapa final'!$A$37),"")</f>
        <v/>
      </c>
      <c r="AM32" s="323"/>
      <c r="AN32" s="82"/>
      <c r="AO32" s="382"/>
      <c r="AP32" s="383"/>
      <c r="AQ32" s="383"/>
      <c r="AR32" s="383"/>
      <c r="AS32" s="383"/>
      <c r="AT32" s="384"/>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3">
      <c r="A33" s="82"/>
      <c r="B33" s="350"/>
      <c r="C33" s="350"/>
      <c r="D33" s="351"/>
      <c r="E33" s="343"/>
      <c r="F33" s="344"/>
      <c r="G33" s="344"/>
      <c r="H33" s="344"/>
      <c r="I33" s="344"/>
      <c r="J33" s="303"/>
      <c r="K33" s="304"/>
      <c r="L33" s="304"/>
      <c r="M33" s="304"/>
      <c r="N33" s="304"/>
      <c r="O33" s="305"/>
      <c r="P33" s="313"/>
      <c r="Q33" s="313"/>
      <c r="R33" s="313"/>
      <c r="S33" s="313"/>
      <c r="T33" s="313"/>
      <c r="U33" s="314"/>
      <c r="V33" s="312"/>
      <c r="W33" s="313"/>
      <c r="X33" s="313"/>
      <c r="Y33" s="313"/>
      <c r="Z33" s="313"/>
      <c r="AA33" s="314"/>
      <c r="AB33" s="330"/>
      <c r="AC33" s="331"/>
      <c r="AD33" s="331"/>
      <c r="AE33" s="331"/>
      <c r="AF33" s="331"/>
      <c r="AG33" s="332"/>
      <c r="AH33" s="321"/>
      <c r="AI33" s="322"/>
      <c r="AJ33" s="322"/>
      <c r="AK33" s="322"/>
      <c r="AL33" s="322"/>
      <c r="AM33" s="323"/>
      <c r="AN33" s="82"/>
      <c r="AO33" s="382"/>
      <c r="AP33" s="383"/>
      <c r="AQ33" s="383"/>
      <c r="AR33" s="383"/>
      <c r="AS33" s="383"/>
      <c r="AT33" s="384"/>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3">
      <c r="A34" s="82"/>
      <c r="B34" s="350"/>
      <c r="C34" s="350"/>
      <c r="D34" s="351"/>
      <c r="E34" s="343"/>
      <c r="F34" s="344"/>
      <c r="G34" s="344"/>
      <c r="H34" s="344"/>
      <c r="I34" s="344"/>
      <c r="J34" s="303" t="str">
        <f>IF(AND('Mapa final'!$H$43="Baja",'Mapa final'!$L$43="Leve"),CONCATENATE("R",'Mapa final'!$A$43),"")</f>
        <v/>
      </c>
      <c r="K34" s="304"/>
      <c r="L34" s="304" t="str">
        <f>IF(AND('Mapa final'!$H$49="Baja",'Mapa final'!$L$49="Leve"),CONCATENATE("R",'Mapa final'!$A$49),"")</f>
        <v/>
      </c>
      <c r="M34" s="304"/>
      <c r="N34" s="304" t="str">
        <f>IF(AND('Mapa final'!$H$55="Baja",'Mapa final'!$L$55="Leve"),CONCATENATE("R",'Mapa final'!$A$55),"")</f>
        <v/>
      </c>
      <c r="O34" s="305"/>
      <c r="P34" s="313" t="str">
        <f>IF(AND('Mapa final'!$H$43="Baja",'Mapa final'!$L$43="Menor"),CONCATENATE("R",'Mapa final'!$A$43),"")</f>
        <v/>
      </c>
      <c r="Q34" s="313"/>
      <c r="R34" s="313" t="str">
        <f>IF(AND('Mapa final'!$H$49="Baja",'Mapa final'!$L$49="Menor"),CONCATENATE("R",'Mapa final'!$A$49),"")</f>
        <v/>
      </c>
      <c r="S34" s="313"/>
      <c r="T34" s="313" t="str">
        <f>IF(AND('Mapa final'!$H$55="Baja",'Mapa final'!$L$55="Menor"),CONCATENATE("R",'Mapa final'!$A$55),"")</f>
        <v/>
      </c>
      <c r="U34" s="314"/>
      <c r="V34" s="312" t="str">
        <f>IF(AND('Mapa final'!$H$43="Baja",'Mapa final'!$L$43="Moderado"),CONCATENATE("R",'Mapa final'!$A$43),"")</f>
        <v/>
      </c>
      <c r="W34" s="313"/>
      <c r="X34" s="313" t="str">
        <f>IF(AND('Mapa final'!$H$49="Baja",'Mapa final'!$L$49="Moderado"),CONCATENATE("R",'Mapa final'!$A$49),"")</f>
        <v/>
      </c>
      <c r="Y34" s="313"/>
      <c r="Z34" s="313" t="str">
        <f>IF(AND('Mapa final'!$H$55="Baja",'Mapa final'!$L$55="Moderado"),CONCATENATE("R",'Mapa final'!$A$55),"")</f>
        <v/>
      </c>
      <c r="AA34" s="314"/>
      <c r="AB34" s="330" t="str">
        <f>IF(AND('Mapa final'!$H$43="Baja",'Mapa final'!$L$43="Mayor"),CONCATENATE("R",'Mapa final'!$A$43),"")</f>
        <v/>
      </c>
      <c r="AC34" s="331"/>
      <c r="AD34" s="331" t="str">
        <f>IF(AND('Mapa final'!$H$49="Baja",'Mapa final'!$L$49="Mayor"),CONCATENATE("R",'Mapa final'!$A$49),"")</f>
        <v/>
      </c>
      <c r="AE34" s="331"/>
      <c r="AF34" s="331" t="str">
        <f>IF(AND('Mapa final'!$H$55="Baja",'Mapa final'!$L$55="Mayor"),CONCATENATE("R",'Mapa final'!$A$55),"")</f>
        <v/>
      </c>
      <c r="AG34" s="332"/>
      <c r="AH34" s="321" t="str">
        <f>IF(AND('Mapa final'!$H$43="Baja",'Mapa final'!$L$43="Catastrófico"),CONCATENATE("R",'Mapa final'!$A$43),"")</f>
        <v/>
      </c>
      <c r="AI34" s="322"/>
      <c r="AJ34" s="322" t="str">
        <f>IF(AND('Mapa final'!$H$49="Baja",'Mapa final'!$L$49="Catastrófico"),CONCATENATE("R",'Mapa final'!$A$49),"")</f>
        <v/>
      </c>
      <c r="AK34" s="322"/>
      <c r="AL34" s="322" t="str">
        <f>IF(AND('Mapa final'!$H$55="Baja",'Mapa final'!$L$55="Catastrófico"),CONCATENATE("R",'Mapa final'!$A$55),"")</f>
        <v/>
      </c>
      <c r="AM34" s="323"/>
      <c r="AN34" s="82"/>
      <c r="AO34" s="382"/>
      <c r="AP34" s="383"/>
      <c r="AQ34" s="383"/>
      <c r="AR34" s="383"/>
      <c r="AS34" s="383"/>
      <c r="AT34" s="384"/>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3">
      <c r="A35" s="82"/>
      <c r="B35" s="350"/>
      <c r="C35" s="350"/>
      <c r="D35" s="351"/>
      <c r="E35" s="343"/>
      <c r="F35" s="344"/>
      <c r="G35" s="344"/>
      <c r="H35" s="344"/>
      <c r="I35" s="344"/>
      <c r="J35" s="303"/>
      <c r="K35" s="304"/>
      <c r="L35" s="304"/>
      <c r="M35" s="304"/>
      <c r="N35" s="304"/>
      <c r="O35" s="305"/>
      <c r="P35" s="313"/>
      <c r="Q35" s="313"/>
      <c r="R35" s="313"/>
      <c r="S35" s="313"/>
      <c r="T35" s="313"/>
      <c r="U35" s="314"/>
      <c r="V35" s="312"/>
      <c r="W35" s="313"/>
      <c r="X35" s="313"/>
      <c r="Y35" s="313"/>
      <c r="Z35" s="313"/>
      <c r="AA35" s="314"/>
      <c r="AB35" s="330"/>
      <c r="AC35" s="331"/>
      <c r="AD35" s="331"/>
      <c r="AE35" s="331"/>
      <c r="AF35" s="331"/>
      <c r="AG35" s="332"/>
      <c r="AH35" s="321"/>
      <c r="AI35" s="322"/>
      <c r="AJ35" s="322"/>
      <c r="AK35" s="322"/>
      <c r="AL35" s="322"/>
      <c r="AM35" s="323"/>
      <c r="AN35" s="82"/>
      <c r="AO35" s="382"/>
      <c r="AP35" s="383"/>
      <c r="AQ35" s="383"/>
      <c r="AR35" s="383"/>
      <c r="AS35" s="383"/>
      <c r="AT35" s="384"/>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3">
      <c r="A36" s="82"/>
      <c r="B36" s="350"/>
      <c r="C36" s="350"/>
      <c r="D36" s="351"/>
      <c r="E36" s="343"/>
      <c r="F36" s="344"/>
      <c r="G36" s="344"/>
      <c r="H36" s="344"/>
      <c r="I36" s="344"/>
      <c r="J36" s="303" t="str">
        <f>IF(AND('Mapa final'!$H$61="Baja",'Mapa final'!$L$61="Leve"),CONCATENATE("R",'Mapa final'!$A$61),"")</f>
        <v/>
      </c>
      <c r="K36" s="304"/>
      <c r="L36" s="304" t="str">
        <f>IF(AND('Mapa final'!$H$67="Baja",'Mapa final'!$L$67="Leve"),CONCATENATE("R",'Mapa final'!$A$67),"")</f>
        <v/>
      </c>
      <c r="M36" s="304"/>
      <c r="N36" s="304" t="str">
        <f>IF(AND('Mapa final'!$H$73="Baja",'Mapa final'!$L$73="Leve"),CONCATENATE("R",'Mapa final'!$A$73),"")</f>
        <v/>
      </c>
      <c r="O36" s="305"/>
      <c r="P36" s="313" t="str">
        <f>IF(AND('Mapa final'!$H$61="Baja",'Mapa final'!$L$61="Menor"),CONCATENATE("R",'Mapa final'!$A$61),"")</f>
        <v/>
      </c>
      <c r="Q36" s="313"/>
      <c r="R36" s="313" t="str">
        <f>IF(AND('Mapa final'!$H$67="Baja",'Mapa final'!$L$67="Menor"),CONCATENATE("R",'Mapa final'!$A$67),"")</f>
        <v/>
      </c>
      <c r="S36" s="313"/>
      <c r="T36" s="313" t="str">
        <f>IF(AND('Mapa final'!$H$73="Baja",'Mapa final'!$L$73="Menor"),CONCATENATE("R",'Mapa final'!$A$73),"")</f>
        <v/>
      </c>
      <c r="U36" s="314"/>
      <c r="V36" s="312" t="str">
        <f>IF(AND('Mapa final'!$H$61="Baja",'Mapa final'!$L$61="Moderado"),CONCATENATE("R",'Mapa final'!$A$61),"")</f>
        <v/>
      </c>
      <c r="W36" s="313"/>
      <c r="X36" s="313" t="str">
        <f>IF(AND('Mapa final'!$H$67="Baja",'Mapa final'!$L$67="Moderado"),CONCATENATE("R",'Mapa final'!$A$67),"")</f>
        <v/>
      </c>
      <c r="Y36" s="313"/>
      <c r="Z36" s="313" t="str">
        <f>IF(AND('Mapa final'!$H$73="Baja",'Mapa final'!$L$73="Moderado"),CONCATENATE("R",'Mapa final'!$A$73),"")</f>
        <v/>
      </c>
      <c r="AA36" s="314"/>
      <c r="AB36" s="330" t="str">
        <f>IF(AND('Mapa final'!$H$61="Baja",'Mapa final'!$L$61="Mayor"),CONCATENATE("R",'Mapa final'!$A$61),"")</f>
        <v/>
      </c>
      <c r="AC36" s="331"/>
      <c r="AD36" s="331" t="str">
        <f>IF(AND('Mapa final'!$H$67="Baja",'Mapa final'!$L$67="Mayor"),CONCATENATE("R",'Mapa final'!$A$67),"")</f>
        <v/>
      </c>
      <c r="AE36" s="331"/>
      <c r="AF36" s="331" t="str">
        <f>IF(AND('Mapa final'!$H$73="Baja",'Mapa final'!$L$73="Mayor"),CONCATENATE("R",'Mapa final'!$A$73),"")</f>
        <v/>
      </c>
      <c r="AG36" s="332"/>
      <c r="AH36" s="321" t="str">
        <f>IF(AND('Mapa final'!$H$61="Baja",'Mapa final'!$L$61="Catastrófico"),CONCATENATE("R",'Mapa final'!$A$61),"")</f>
        <v/>
      </c>
      <c r="AI36" s="322"/>
      <c r="AJ36" s="322" t="str">
        <f>IF(AND('Mapa final'!$H$67="Baja",'Mapa final'!$L$67="Catastrófico"),CONCATENATE("R",'Mapa final'!$A$67),"")</f>
        <v/>
      </c>
      <c r="AK36" s="322"/>
      <c r="AL36" s="322" t="str">
        <f>IF(AND('Mapa final'!$H$73="Baja",'Mapa final'!$L$73="Catastrófico"),CONCATENATE("R",'Mapa final'!$A$73),"")</f>
        <v/>
      </c>
      <c r="AM36" s="323"/>
      <c r="AN36" s="82"/>
      <c r="AO36" s="382"/>
      <c r="AP36" s="383"/>
      <c r="AQ36" s="383"/>
      <c r="AR36" s="383"/>
      <c r="AS36" s="383"/>
      <c r="AT36" s="384"/>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 thickBot="1" x14ac:dyDescent="0.35">
      <c r="A37" s="82"/>
      <c r="B37" s="350"/>
      <c r="C37" s="350"/>
      <c r="D37" s="351"/>
      <c r="E37" s="346"/>
      <c r="F37" s="347"/>
      <c r="G37" s="347"/>
      <c r="H37" s="347"/>
      <c r="I37" s="347"/>
      <c r="J37" s="306"/>
      <c r="K37" s="307"/>
      <c r="L37" s="307"/>
      <c r="M37" s="307"/>
      <c r="N37" s="307"/>
      <c r="O37" s="308"/>
      <c r="P37" s="316"/>
      <c r="Q37" s="316"/>
      <c r="R37" s="316"/>
      <c r="S37" s="316"/>
      <c r="T37" s="316"/>
      <c r="U37" s="317"/>
      <c r="V37" s="315"/>
      <c r="W37" s="316"/>
      <c r="X37" s="316"/>
      <c r="Y37" s="316"/>
      <c r="Z37" s="316"/>
      <c r="AA37" s="317"/>
      <c r="AB37" s="333"/>
      <c r="AC37" s="334"/>
      <c r="AD37" s="334"/>
      <c r="AE37" s="334"/>
      <c r="AF37" s="334"/>
      <c r="AG37" s="335"/>
      <c r="AH37" s="324"/>
      <c r="AI37" s="325"/>
      <c r="AJ37" s="325"/>
      <c r="AK37" s="325"/>
      <c r="AL37" s="325"/>
      <c r="AM37" s="326"/>
      <c r="AN37" s="82"/>
      <c r="AO37" s="385"/>
      <c r="AP37" s="386"/>
      <c r="AQ37" s="386"/>
      <c r="AR37" s="386"/>
      <c r="AS37" s="386"/>
      <c r="AT37" s="387"/>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3">
      <c r="A38" s="82"/>
      <c r="B38" s="350"/>
      <c r="C38" s="350"/>
      <c r="D38" s="351"/>
      <c r="E38" s="340" t="s">
        <v>112</v>
      </c>
      <c r="F38" s="341"/>
      <c r="G38" s="341"/>
      <c r="H38" s="341"/>
      <c r="I38" s="342"/>
      <c r="J38" s="309" t="str">
        <f>IF(AND('Mapa final'!$H$10="Muy Baja",'Mapa final'!$L$10="Leve"),CONCATENATE("R",'Mapa final'!$A$10),"")</f>
        <v/>
      </c>
      <c r="K38" s="310"/>
      <c r="L38" s="310" t="str">
        <f>IF(AND('Mapa final'!$H$16="Muy Baja",'Mapa final'!$L$16="Leve"),CONCATENATE("R",'Mapa final'!$A$16),"")</f>
        <v/>
      </c>
      <c r="M38" s="310"/>
      <c r="N38" s="310" t="str">
        <f>IF(AND('Mapa final'!$H$22="Muy Baja",'Mapa final'!$L$22="Leve"),CONCATENATE("R",'Mapa final'!$A$22),"")</f>
        <v/>
      </c>
      <c r="O38" s="311"/>
      <c r="P38" s="309" t="str">
        <f>IF(AND('Mapa final'!$H$10="Muy Baja",'Mapa final'!$L$10="Menor"),CONCATENATE("R",'Mapa final'!$A$10),"")</f>
        <v/>
      </c>
      <c r="Q38" s="310"/>
      <c r="R38" s="310" t="str">
        <f>IF(AND('Mapa final'!$H$16="Muy Baja",'Mapa final'!$L$16="Menor"),CONCATENATE("R",'Mapa final'!$A$16),"")</f>
        <v/>
      </c>
      <c r="S38" s="310"/>
      <c r="T38" s="310" t="str">
        <f>IF(AND('Mapa final'!$H$22="Muy Baja",'Mapa final'!$L$22="Menor"),CONCATENATE("R",'Mapa final'!$A$22),"")</f>
        <v/>
      </c>
      <c r="U38" s="311"/>
      <c r="V38" s="318" t="str">
        <f>IF(AND('Mapa final'!$H$10="Muy Baja",'Mapa final'!$L$10="Moderado"),CONCATENATE("R",'Mapa final'!$A$10),"")</f>
        <v/>
      </c>
      <c r="W38" s="319"/>
      <c r="X38" s="319" t="str">
        <f>IF(AND('Mapa final'!$H$16="Muy Baja",'Mapa final'!$L$16="Moderado"),CONCATENATE("R",'Mapa final'!$A$16),"")</f>
        <v/>
      </c>
      <c r="Y38" s="319"/>
      <c r="Z38" s="319" t="str">
        <f>IF(AND('Mapa final'!$H$22="Muy Baja",'Mapa final'!$L$22="Moderado"),CONCATENATE("R",'Mapa final'!$A$22),"")</f>
        <v/>
      </c>
      <c r="AA38" s="320"/>
      <c r="AB38" s="336" t="str">
        <f>IF(AND('Mapa final'!$H$10="Muy Baja",'Mapa final'!$L$10="Mayor"),CONCATENATE("R",'Mapa final'!$A$10),"")</f>
        <v/>
      </c>
      <c r="AC38" s="337"/>
      <c r="AD38" s="337" t="str">
        <f>IF(AND('Mapa final'!$H$16="Muy Baja",'Mapa final'!$L$16="Mayor"),CONCATENATE("R",'Mapa final'!$A$16),"")</f>
        <v/>
      </c>
      <c r="AE38" s="337"/>
      <c r="AF38" s="337" t="str">
        <f>IF(AND('Mapa final'!$H$22="Muy Baja",'Mapa final'!$L$22="Mayor"),CONCATENATE("R",'Mapa final'!$A$22),"")</f>
        <v/>
      </c>
      <c r="AG38" s="338"/>
      <c r="AH38" s="327" t="str">
        <f>IF(AND('Mapa final'!$H$10="Muy Baja",'Mapa final'!$L$10="Catastrófico"),CONCATENATE("R",'Mapa final'!$A$10),"")</f>
        <v/>
      </c>
      <c r="AI38" s="328"/>
      <c r="AJ38" s="328" t="str">
        <f>IF(AND('Mapa final'!$H$16="Muy Baja",'Mapa final'!$L$16="Catastrófico"),CONCATENATE("R",'Mapa final'!$A$16),"")</f>
        <v/>
      </c>
      <c r="AK38" s="328"/>
      <c r="AL38" s="328" t="str">
        <f>IF(AND('Mapa final'!$H$22="Muy Baja",'Mapa final'!$L$22="Catastrófico"),CONCATENATE("R",'Mapa final'!$A$22),"")</f>
        <v/>
      </c>
      <c r="AM38" s="329"/>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3">
      <c r="A39" s="82"/>
      <c r="B39" s="350"/>
      <c r="C39" s="350"/>
      <c r="D39" s="351"/>
      <c r="E39" s="343"/>
      <c r="F39" s="344"/>
      <c r="G39" s="344"/>
      <c r="H39" s="344"/>
      <c r="I39" s="345"/>
      <c r="J39" s="303"/>
      <c r="K39" s="304"/>
      <c r="L39" s="304"/>
      <c r="M39" s="304"/>
      <c r="N39" s="304"/>
      <c r="O39" s="305"/>
      <c r="P39" s="303"/>
      <c r="Q39" s="304"/>
      <c r="R39" s="304"/>
      <c r="S39" s="304"/>
      <c r="T39" s="304"/>
      <c r="U39" s="305"/>
      <c r="V39" s="312"/>
      <c r="W39" s="313"/>
      <c r="X39" s="313"/>
      <c r="Y39" s="313"/>
      <c r="Z39" s="313"/>
      <c r="AA39" s="314"/>
      <c r="AB39" s="330"/>
      <c r="AC39" s="331"/>
      <c r="AD39" s="331"/>
      <c r="AE39" s="331"/>
      <c r="AF39" s="331"/>
      <c r="AG39" s="332"/>
      <c r="AH39" s="321"/>
      <c r="AI39" s="322"/>
      <c r="AJ39" s="322"/>
      <c r="AK39" s="322"/>
      <c r="AL39" s="322"/>
      <c r="AM39" s="323"/>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3">
      <c r="A40" s="82"/>
      <c r="B40" s="350"/>
      <c r="C40" s="350"/>
      <c r="D40" s="351"/>
      <c r="E40" s="343"/>
      <c r="F40" s="344"/>
      <c r="G40" s="344"/>
      <c r="H40" s="344"/>
      <c r="I40" s="345"/>
      <c r="J40" s="303" t="str">
        <f>IF(AND('Mapa final'!$H$28="Muy Baja",'Mapa final'!$L$28="Leve"),CONCATENATE("R",'Mapa final'!$A$28),"")</f>
        <v/>
      </c>
      <c r="K40" s="304"/>
      <c r="L40" s="304" t="str">
        <f>IF(AND('Mapa final'!$H$34="Muy Baja",'Mapa final'!$L$34="Leve"),CONCATENATE("R",'Mapa final'!$A$34),"")</f>
        <v/>
      </c>
      <c r="M40" s="304"/>
      <c r="N40" s="304" t="str">
        <f>IF(AND('Mapa final'!$H$37="Muy Baja",'Mapa final'!$L$37="Leve"),CONCATENATE("R",'Mapa final'!$A$37),"")</f>
        <v/>
      </c>
      <c r="O40" s="305"/>
      <c r="P40" s="303" t="str">
        <f>IF(AND('Mapa final'!$H$28="Muy Baja",'Mapa final'!$L$28="Menor"),CONCATENATE("R",'Mapa final'!$A$28),"")</f>
        <v/>
      </c>
      <c r="Q40" s="304"/>
      <c r="R40" s="304" t="str">
        <f>IF(AND('Mapa final'!$H$34="Muy Baja",'Mapa final'!$L$34="Menor"),CONCATENATE("R",'Mapa final'!$A$34),"")</f>
        <v/>
      </c>
      <c r="S40" s="304"/>
      <c r="T40" s="304" t="str">
        <f>IF(AND('Mapa final'!$H$37="Muy Baja",'Mapa final'!$L$37="Menor"),CONCATENATE("R",'Mapa final'!$A$37),"")</f>
        <v/>
      </c>
      <c r="U40" s="305"/>
      <c r="V40" s="312" t="str">
        <f>IF(AND('Mapa final'!$H$28="Muy Baja",'Mapa final'!$L$28="Moderado"),CONCATENATE("R",'Mapa final'!$A$28),"")</f>
        <v/>
      </c>
      <c r="W40" s="313"/>
      <c r="X40" s="313" t="str">
        <f>IF(AND('Mapa final'!$H$34="Muy Baja",'Mapa final'!$L$34="Moderado"),CONCATENATE("R",'Mapa final'!$A$34),"")</f>
        <v/>
      </c>
      <c r="Y40" s="313"/>
      <c r="Z40" s="313" t="str">
        <f>IF(AND('Mapa final'!$H$37="Muy Baja",'Mapa final'!$L$37="Moderado"),CONCATENATE("R",'Mapa final'!$A$37),"")</f>
        <v/>
      </c>
      <c r="AA40" s="314"/>
      <c r="AB40" s="330" t="str">
        <f>IF(AND('Mapa final'!$H$28="Muy Baja",'Mapa final'!$L$28="Mayor"),CONCATENATE("R",'Mapa final'!$A$28),"")</f>
        <v/>
      </c>
      <c r="AC40" s="331"/>
      <c r="AD40" s="331" t="str">
        <f>IF(AND('Mapa final'!$H$34="Muy Baja",'Mapa final'!$L$34="Mayor"),CONCATENATE("R",'Mapa final'!$A$34),"")</f>
        <v/>
      </c>
      <c r="AE40" s="331"/>
      <c r="AF40" s="331" t="str">
        <f>IF(AND('Mapa final'!$H$37="Muy Baja",'Mapa final'!$L$37="Mayor"),CONCATENATE("R",'Mapa final'!$A$37),"")</f>
        <v/>
      </c>
      <c r="AG40" s="332"/>
      <c r="AH40" s="321" t="str">
        <f>IF(AND('Mapa final'!$H$28="Muy Baja",'Mapa final'!$L$28="Catastrófico"),CONCATENATE("R",'Mapa final'!$A$28),"")</f>
        <v/>
      </c>
      <c r="AI40" s="322"/>
      <c r="AJ40" s="322" t="str">
        <f>IF(AND('Mapa final'!$H$34="Muy Baja",'Mapa final'!$L$34="Catastrófico"),CONCATENATE("R",'Mapa final'!$A$34),"")</f>
        <v/>
      </c>
      <c r="AK40" s="322"/>
      <c r="AL40" s="322" t="str">
        <f>IF(AND('Mapa final'!$H$37="Muy Baja",'Mapa final'!$L$37="Catastrófico"),CONCATENATE("R",'Mapa final'!$A$37),"")</f>
        <v/>
      </c>
      <c r="AM40" s="323"/>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3">
      <c r="A41" s="82"/>
      <c r="B41" s="350"/>
      <c r="C41" s="350"/>
      <c r="D41" s="351"/>
      <c r="E41" s="343"/>
      <c r="F41" s="344"/>
      <c r="G41" s="344"/>
      <c r="H41" s="344"/>
      <c r="I41" s="345"/>
      <c r="J41" s="303"/>
      <c r="K41" s="304"/>
      <c r="L41" s="304"/>
      <c r="M41" s="304"/>
      <c r="N41" s="304"/>
      <c r="O41" s="305"/>
      <c r="P41" s="303"/>
      <c r="Q41" s="304"/>
      <c r="R41" s="304"/>
      <c r="S41" s="304"/>
      <c r="T41" s="304"/>
      <c r="U41" s="305"/>
      <c r="V41" s="312"/>
      <c r="W41" s="313"/>
      <c r="X41" s="313"/>
      <c r="Y41" s="313"/>
      <c r="Z41" s="313"/>
      <c r="AA41" s="314"/>
      <c r="AB41" s="330"/>
      <c r="AC41" s="331"/>
      <c r="AD41" s="331"/>
      <c r="AE41" s="331"/>
      <c r="AF41" s="331"/>
      <c r="AG41" s="332"/>
      <c r="AH41" s="321"/>
      <c r="AI41" s="322"/>
      <c r="AJ41" s="322"/>
      <c r="AK41" s="322"/>
      <c r="AL41" s="322"/>
      <c r="AM41" s="323"/>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3">
      <c r="A42" s="82"/>
      <c r="B42" s="350"/>
      <c r="C42" s="350"/>
      <c r="D42" s="351"/>
      <c r="E42" s="343"/>
      <c r="F42" s="344"/>
      <c r="G42" s="344"/>
      <c r="H42" s="344"/>
      <c r="I42" s="345"/>
      <c r="J42" s="303" t="str">
        <f>IF(AND('Mapa final'!$H$43="Muy Baja",'Mapa final'!$L$43="Leve"),CONCATENATE("R",'Mapa final'!$A$43),"")</f>
        <v/>
      </c>
      <c r="K42" s="304"/>
      <c r="L42" s="304" t="str">
        <f>IF(AND('Mapa final'!$H$49="Muy Baja",'Mapa final'!$L$49="Leve"),CONCATENATE("R",'Mapa final'!$A$49),"")</f>
        <v/>
      </c>
      <c r="M42" s="304"/>
      <c r="N42" s="304" t="str">
        <f>IF(AND('Mapa final'!$H$55="Muy Baja",'Mapa final'!$L$55="Leve"),CONCATENATE("R",'Mapa final'!$A$55),"")</f>
        <v/>
      </c>
      <c r="O42" s="305"/>
      <c r="P42" s="303" t="str">
        <f>IF(AND('Mapa final'!$H$43="Muy Baja",'Mapa final'!$L$43="Menor"),CONCATENATE("R",'Mapa final'!$A$43),"")</f>
        <v/>
      </c>
      <c r="Q42" s="304"/>
      <c r="R42" s="304" t="str">
        <f>IF(AND('Mapa final'!$H$49="Muy Baja",'Mapa final'!$L$49="Menor"),CONCATENATE("R",'Mapa final'!$A$49),"")</f>
        <v/>
      </c>
      <c r="S42" s="304"/>
      <c r="T42" s="304" t="str">
        <f>IF(AND('Mapa final'!$H$55="Muy Baja",'Mapa final'!$L$55="Menor"),CONCATENATE("R",'Mapa final'!$A$55),"")</f>
        <v/>
      </c>
      <c r="U42" s="305"/>
      <c r="V42" s="312" t="str">
        <f>IF(AND('Mapa final'!$H$43="Muy Baja",'Mapa final'!$L$43="Moderado"),CONCATENATE("R",'Mapa final'!$A$43),"")</f>
        <v/>
      </c>
      <c r="W42" s="313"/>
      <c r="X42" s="313" t="str">
        <f>IF(AND('Mapa final'!$H$49="Muy Baja",'Mapa final'!$L$49="Moderado"),CONCATENATE("R",'Mapa final'!$A$49),"")</f>
        <v/>
      </c>
      <c r="Y42" s="313"/>
      <c r="Z42" s="313" t="str">
        <f>IF(AND('Mapa final'!$H$55="Muy Baja",'Mapa final'!$L$55="Moderado"),CONCATENATE("R",'Mapa final'!$A$55),"")</f>
        <v/>
      </c>
      <c r="AA42" s="314"/>
      <c r="AB42" s="330" t="str">
        <f>IF(AND('Mapa final'!$H$43="Muy Baja",'Mapa final'!$L$43="Mayor"),CONCATENATE("R",'Mapa final'!$A$43),"")</f>
        <v/>
      </c>
      <c r="AC42" s="331"/>
      <c r="AD42" s="331" t="str">
        <f>IF(AND('Mapa final'!$H$49="Muy Baja",'Mapa final'!$L$49="Mayor"),CONCATENATE("R",'Mapa final'!$A$49),"")</f>
        <v/>
      </c>
      <c r="AE42" s="331"/>
      <c r="AF42" s="331" t="str">
        <f>IF(AND('Mapa final'!$H$55="Muy Baja",'Mapa final'!$L$55="Mayor"),CONCATENATE("R",'Mapa final'!$A$55),"")</f>
        <v/>
      </c>
      <c r="AG42" s="332"/>
      <c r="AH42" s="321" t="str">
        <f>IF(AND('Mapa final'!$H$43="Muy Baja",'Mapa final'!$L$43="Catastrófico"),CONCATENATE("R",'Mapa final'!$A$43),"")</f>
        <v/>
      </c>
      <c r="AI42" s="322"/>
      <c r="AJ42" s="322" t="str">
        <f>IF(AND('Mapa final'!$H$49="Muy Baja",'Mapa final'!$L$49="Catastrófico"),CONCATENATE("R",'Mapa final'!$A$49),"")</f>
        <v/>
      </c>
      <c r="AK42" s="322"/>
      <c r="AL42" s="322" t="str">
        <f>IF(AND('Mapa final'!$H$55="Muy Baja",'Mapa final'!$L$55="Catastrófico"),CONCATENATE("R",'Mapa final'!$A$55),"")</f>
        <v/>
      </c>
      <c r="AM42" s="323"/>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3">
      <c r="A43" s="82"/>
      <c r="B43" s="350"/>
      <c r="C43" s="350"/>
      <c r="D43" s="351"/>
      <c r="E43" s="343"/>
      <c r="F43" s="344"/>
      <c r="G43" s="344"/>
      <c r="H43" s="344"/>
      <c r="I43" s="345"/>
      <c r="J43" s="303"/>
      <c r="K43" s="304"/>
      <c r="L43" s="304"/>
      <c r="M43" s="304"/>
      <c r="N43" s="304"/>
      <c r="O43" s="305"/>
      <c r="P43" s="303"/>
      <c r="Q43" s="304"/>
      <c r="R43" s="304"/>
      <c r="S43" s="304"/>
      <c r="T43" s="304"/>
      <c r="U43" s="305"/>
      <c r="V43" s="312"/>
      <c r="W43" s="313"/>
      <c r="X43" s="313"/>
      <c r="Y43" s="313"/>
      <c r="Z43" s="313"/>
      <c r="AA43" s="314"/>
      <c r="AB43" s="330"/>
      <c r="AC43" s="331"/>
      <c r="AD43" s="331"/>
      <c r="AE43" s="331"/>
      <c r="AF43" s="331"/>
      <c r="AG43" s="332"/>
      <c r="AH43" s="321"/>
      <c r="AI43" s="322"/>
      <c r="AJ43" s="322"/>
      <c r="AK43" s="322"/>
      <c r="AL43" s="322"/>
      <c r="AM43" s="323"/>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3">
      <c r="A44" s="82"/>
      <c r="B44" s="350"/>
      <c r="C44" s="350"/>
      <c r="D44" s="351"/>
      <c r="E44" s="343"/>
      <c r="F44" s="344"/>
      <c r="G44" s="344"/>
      <c r="H44" s="344"/>
      <c r="I44" s="345"/>
      <c r="J44" s="303" t="str">
        <f>IF(AND('Mapa final'!$H$61="Muy Baja",'Mapa final'!$L$61="Leve"),CONCATENATE("R",'Mapa final'!$A$61),"")</f>
        <v/>
      </c>
      <c r="K44" s="304"/>
      <c r="L44" s="304" t="str">
        <f>IF(AND('Mapa final'!$H$67="Muy Baja",'Mapa final'!$L$67="Leve"),CONCATENATE("R",'Mapa final'!$A$67),"")</f>
        <v/>
      </c>
      <c r="M44" s="304"/>
      <c r="N44" s="304" t="str">
        <f>IF(AND('Mapa final'!$H$73="Muy Baja",'Mapa final'!$L$73="Leve"),CONCATENATE("R",'Mapa final'!$A$73),"")</f>
        <v/>
      </c>
      <c r="O44" s="305"/>
      <c r="P44" s="303" t="str">
        <f>IF(AND('Mapa final'!$H$61="Muy Baja",'Mapa final'!$L$61="Menor"),CONCATENATE("R",'Mapa final'!$A$61),"")</f>
        <v/>
      </c>
      <c r="Q44" s="304"/>
      <c r="R44" s="304" t="str">
        <f>IF(AND('Mapa final'!$H$67="Muy Baja",'Mapa final'!$L$67="Menor"),CONCATENATE("R",'Mapa final'!$A$67),"")</f>
        <v/>
      </c>
      <c r="S44" s="304"/>
      <c r="T44" s="304" t="str">
        <f>IF(AND('Mapa final'!$H$73="Muy Baja",'Mapa final'!$L$73="Menor"),CONCATENATE("R",'Mapa final'!$A$73),"")</f>
        <v/>
      </c>
      <c r="U44" s="305"/>
      <c r="V44" s="312" t="str">
        <f>IF(AND('Mapa final'!$H$61="Muy Baja",'Mapa final'!$L$61="Moderado"),CONCATENATE("R",'Mapa final'!$A$61),"")</f>
        <v/>
      </c>
      <c r="W44" s="313"/>
      <c r="X44" s="313" t="str">
        <f>IF(AND('Mapa final'!$H$67="Muy Baja",'Mapa final'!$L$67="Moderado"),CONCATENATE("R",'Mapa final'!$A$67),"")</f>
        <v/>
      </c>
      <c r="Y44" s="313"/>
      <c r="Z44" s="313" t="str">
        <f>IF(AND('Mapa final'!$H$73="Muy Baja",'Mapa final'!$L$73="Moderado"),CONCATENATE("R",'Mapa final'!$A$73),"")</f>
        <v/>
      </c>
      <c r="AA44" s="314"/>
      <c r="AB44" s="330" t="str">
        <f>IF(AND('Mapa final'!$H$61="Muy Baja",'Mapa final'!$L$61="Mayor"),CONCATENATE("R",'Mapa final'!$A$61),"")</f>
        <v/>
      </c>
      <c r="AC44" s="331"/>
      <c r="AD44" s="331" t="str">
        <f>IF(AND('Mapa final'!$H$67="Muy Baja",'Mapa final'!$L$67="Mayor"),CONCATENATE("R",'Mapa final'!$A$67),"")</f>
        <v/>
      </c>
      <c r="AE44" s="331"/>
      <c r="AF44" s="331" t="str">
        <f>IF(AND('Mapa final'!$H$73="Muy Baja",'Mapa final'!$L$73="Mayor"),CONCATENATE("R",'Mapa final'!$A$73),"")</f>
        <v/>
      </c>
      <c r="AG44" s="332"/>
      <c r="AH44" s="321" t="str">
        <f>IF(AND('Mapa final'!$H$61="Muy Baja",'Mapa final'!$L$61="Catastrófico"),CONCATENATE("R",'Mapa final'!$A$61),"")</f>
        <v/>
      </c>
      <c r="AI44" s="322"/>
      <c r="AJ44" s="322" t="str">
        <f>IF(AND('Mapa final'!$H$67="Muy Baja",'Mapa final'!$L$67="Catastrófico"),CONCATENATE("R",'Mapa final'!$A$67),"")</f>
        <v/>
      </c>
      <c r="AK44" s="322"/>
      <c r="AL44" s="322" t="str">
        <f>IF(AND('Mapa final'!$H$73="Muy Baja",'Mapa final'!$L$73="Catastrófico"),CONCATENATE("R",'Mapa final'!$A$73),"")</f>
        <v/>
      </c>
      <c r="AM44" s="323"/>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 thickBot="1" x14ac:dyDescent="0.35">
      <c r="A45" s="82"/>
      <c r="B45" s="350"/>
      <c r="C45" s="350"/>
      <c r="D45" s="351"/>
      <c r="E45" s="346"/>
      <c r="F45" s="347"/>
      <c r="G45" s="347"/>
      <c r="H45" s="347"/>
      <c r="I45" s="348"/>
      <c r="J45" s="306"/>
      <c r="K45" s="307"/>
      <c r="L45" s="307"/>
      <c r="M45" s="307"/>
      <c r="N45" s="307"/>
      <c r="O45" s="308"/>
      <c r="P45" s="306"/>
      <c r="Q45" s="307"/>
      <c r="R45" s="307"/>
      <c r="S45" s="307"/>
      <c r="T45" s="307"/>
      <c r="U45" s="308"/>
      <c r="V45" s="315"/>
      <c r="W45" s="316"/>
      <c r="X45" s="316"/>
      <c r="Y45" s="316"/>
      <c r="Z45" s="316"/>
      <c r="AA45" s="317"/>
      <c r="AB45" s="333"/>
      <c r="AC45" s="334"/>
      <c r="AD45" s="334"/>
      <c r="AE45" s="334"/>
      <c r="AF45" s="334"/>
      <c r="AG45" s="335"/>
      <c r="AH45" s="324"/>
      <c r="AI45" s="325"/>
      <c r="AJ45" s="325"/>
      <c r="AK45" s="325"/>
      <c r="AL45" s="325"/>
      <c r="AM45" s="326"/>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3">
      <c r="A46" s="82"/>
      <c r="B46" s="82"/>
      <c r="C46" s="82"/>
      <c r="D46" s="82"/>
      <c r="E46" s="82"/>
      <c r="F46" s="82"/>
      <c r="G46" s="82"/>
      <c r="H46" s="82"/>
      <c r="I46" s="82"/>
      <c r="J46" s="340" t="s">
        <v>111</v>
      </c>
      <c r="K46" s="341"/>
      <c r="L46" s="341"/>
      <c r="M46" s="341"/>
      <c r="N46" s="341"/>
      <c r="O46" s="342"/>
      <c r="P46" s="340" t="s">
        <v>110</v>
      </c>
      <c r="Q46" s="341"/>
      <c r="R46" s="341"/>
      <c r="S46" s="341"/>
      <c r="T46" s="341"/>
      <c r="U46" s="342"/>
      <c r="V46" s="340" t="s">
        <v>109</v>
      </c>
      <c r="W46" s="341"/>
      <c r="X46" s="341"/>
      <c r="Y46" s="341"/>
      <c r="Z46" s="341"/>
      <c r="AA46" s="342"/>
      <c r="AB46" s="340" t="s">
        <v>108</v>
      </c>
      <c r="AC46" s="349"/>
      <c r="AD46" s="341"/>
      <c r="AE46" s="341"/>
      <c r="AF46" s="341"/>
      <c r="AG46" s="342"/>
      <c r="AH46" s="340" t="s">
        <v>107</v>
      </c>
      <c r="AI46" s="341"/>
      <c r="AJ46" s="341"/>
      <c r="AK46" s="341"/>
      <c r="AL46" s="341"/>
      <c r="AM46" s="34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3">
      <c r="A47" s="82"/>
      <c r="B47" s="82"/>
      <c r="C47" s="82"/>
      <c r="D47" s="82"/>
      <c r="E47" s="82"/>
      <c r="F47" s="82"/>
      <c r="G47" s="82"/>
      <c r="H47" s="82"/>
      <c r="I47" s="82"/>
      <c r="J47" s="343"/>
      <c r="K47" s="344"/>
      <c r="L47" s="344"/>
      <c r="M47" s="344"/>
      <c r="N47" s="344"/>
      <c r="O47" s="345"/>
      <c r="P47" s="343"/>
      <c r="Q47" s="344"/>
      <c r="R47" s="344"/>
      <c r="S47" s="344"/>
      <c r="T47" s="344"/>
      <c r="U47" s="345"/>
      <c r="V47" s="343"/>
      <c r="W47" s="344"/>
      <c r="X47" s="344"/>
      <c r="Y47" s="344"/>
      <c r="Z47" s="344"/>
      <c r="AA47" s="345"/>
      <c r="AB47" s="343"/>
      <c r="AC47" s="344"/>
      <c r="AD47" s="344"/>
      <c r="AE47" s="344"/>
      <c r="AF47" s="344"/>
      <c r="AG47" s="345"/>
      <c r="AH47" s="343"/>
      <c r="AI47" s="344"/>
      <c r="AJ47" s="344"/>
      <c r="AK47" s="344"/>
      <c r="AL47" s="344"/>
      <c r="AM47" s="345"/>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3">
      <c r="A48" s="82"/>
      <c r="B48" s="82"/>
      <c r="C48" s="82"/>
      <c r="D48" s="82"/>
      <c r="E48" s="82"/>
      <c r="F48" s="82"/>
      <c r="G48" s="82"/>
      <c r="H48" s="82"/>
      <c r="I48" s="82"/>
      <c r="J48" s="343"/>
      <c r="K48" s="344"/>
      <c r="L48" s="344"/>
      <c r="M48" s="344"/>
      <c r="N48" s="344"/>
      <c r="O48" s="345"/>
      <c r="P48" s="343"/>
      <c r="Q48" s="344"/>
      <c r="R48" s="344"/>
      <c r="S48" s="344"/>
      <c r="T48" s="344"/>
      <c r="U48" s="345"/>
      <c r="V48" s="343"/>
      <c r="W48" s="344"/>
      <c r="X48" s="344"/>
      <c r="Y48" s="344"/>
      <c r="Z48" s="344"/>
      <c r="AA48" s="345"/>
      <c r="AB48" s="343"/>
      <c r="AC48" s="344"/>
      <c r="AD48" s="344"/>
      <c r="AE48" s="344"/>
      <c r="AF48" s="344"/>
      <c r="AG48" s="345"/>
      <c r="AH48" s="343"/>
      <c r="AI48" s="344"/>
      <c r="AJ48" s="344"/>
      <c r="AK48" s="344"/>
      <c r="AL48" s="344"/>
      <c r="AM48" s="345"/>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3">
      <c r="A49" s="82"/>
      <c r="B49" s="82"/>
      <c r="C49" s="82"/>
      <c r="D49" s="82"/>
      <c r="E49" s="82"/>
      <c r="F49" s="82"/>
      <c r="G49" s="82"/>
      <c r="H49" s="82"/>
      <c r="I49" s="82"/>
      <c r="J49" s="343"/>
      <c r="K49" s="344"/>
      <c r="L49" s="344"/>
      <c r="M49" s="344"/>
      <c r="N49" s="344"/>
      <c r="O49" s="345"/>
      <c r="P49" s="343"/>
      <c r="Q49" s="344"/>
      <c r="R49" s="344"/>
      <c r="S49" s="344"/>
      <c r="T49" s="344"/>
      <c r="U49" s="345"/>
      <c r="V49" s="343"/>
      <c r="W49" s="344"/>
      <c r="X49" s="344"/>
      <c r="Y49" s="344"/>
      <c r="Z49" s="344"/>
      <c r="AA49" s="345"/>
      <c r="AB49" s="343"/>
      <c r="AC49" s="344"/>
      <c r="AD49" s="344"/>
      <c r="AE49" s="344"/>
      <c r="AF49" s="344"/>
      <c r="AG49" s="345"/>
      <c r="AH49" s="343"/>
      <c r="AI49" s="344"/>
      <c r="AJ49" s="344"/>
      <c r="AK49" s="344"/>
      <c r="AL49" s="344"/>
      <c r="AM49" s="345"/>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3">
      <c r="A50" s="82"/>
      <c r="B50" s="82"/>
      <c r="C50" s="82"/>
      <c r="D50" s="82"/>
      <c r="E50" s="82"/>
      <c r="F50" s="82"/>
      <c r="G50" s="82"/>
      <c r="H50" s="82"/>
      <c r="I50" s="82"/>
      <c r="J50" s="343"/>
      <c r="K50" s="344"/>
      <c r="L50" s="344"/>
      <c r="M50" s="344"/>
      <c r="N50" s="344"/>
      <c r="O50" s="345"/>
      <c r="P50" s="343"/>
      <c r="Q50" s="344"/>
      <c r="R50" s="344"/>
      <c r="S50" s="344"/>
      <c r="T50" s="344"/>
      <c r="U50" s="345"/>
      <c r="V50" s="343"/>
      <c r="W50" s="344"/>
      <c r="X50" s="344"/>
      <c r="Y50" s="344"/>
      <c r="Z50" s="344"/>
      <c r="AA50" s="345"/>
      <c r="AB50" s="343"/>
      <c r="AC50" s="344"/>
      <c r="AD50" s="344"/>
      <c r="AE50" s="344"/>
      <c r="AF50" s="344"/>
      <c r="AG50" s="345"/>
      <c r="AH50" s="343"/>
      <c r="AI50" s="344"/>
      <c r="AJ50" s="344"/>
      <c r="AK50" s="344"/>
      <c r="AL50" s="344"/>
      <c r="AM50" s="345"/>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thickBot="1" x14ac:dyDescent="0.35">
      <c r="A51" s="82"/>
      <c r="B51" s="82"/>
      <c r="C51" s="82"/>
      <c r="D51" s="82"/>
      <c r="E51" s="82"/>
      <c r="F51" s="82"/>
      <c r="G51" s="82"/>
      <c r="H51" s="82"/>
      <c r="I51" s="82"/>
      <c r="J51" s="346"/>
      <c r="K51" s="347"/>
      <c r="L51" s="347"/>
      <c r="M51" s="347"/>
      <c r="N51" s="347"/>
      <c r="O51" s="348"/>
      <c r="P51" s="346"/>
      <c r="Q51" s="347"/>
      <c r="R51" s="347"/>
      <c r="S51" s="347"/>
      <c r="T51" s="347"/>
      <c r="U51" s="348"/>
      <c r="V51" s="346"/>
      <c r="W51" s="347"/>
      <c r="X51" s="347"/>
      <c r="Y51" s="347"/>
      <c r="Z51" s="347"/>
      <c r="AA51" s="348"/>
      <c r="AB51" s="346"/>
      <c r="AC51" s="347"/>
      <c r="AD51" s="347"/>
      <c r="AE51" s="347"/>
      <c r="AF51" s="347"/>
      <c r="AG51" s="348"/>
      <c r="AH51" s="346"/>
      <c r="AI51" s="347"/>
      <c r="AJ51" s="347"/>
      <c r="AK51" s="347"/>
      <c r="AL51" s="347"/>
      <c r="AM51" s="348"/>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3">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3">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3">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3">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3">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3">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3">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3">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3">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3">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3">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3">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3">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3">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3">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3">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3">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3">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3">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3">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3">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3">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3">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3">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3">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3">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3">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3">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3">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3">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3">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3">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3">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3">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3">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3">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3">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3">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3">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3">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3">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3">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3">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3">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3">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3">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3">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3">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3">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3">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3">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3">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3">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3">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3">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3">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3">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3">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3">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3">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3">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3">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3">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3">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3">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3">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3">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3">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3">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3">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3">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3">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3">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3">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3">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3">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3">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3">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3">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3">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3">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3">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3">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3">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3">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3">
      <c r="B137" s="82"/>
      <c r="C137" s="82"/>
      <c r="D137" s="82"/>
      <c r="E137" s="82"/>
      <c r="F137" s="82"/>
      <c r="G137" s="82"/>
      <c r="H137" s="82"/>
      <c r="I137" s="82"/>
    </row>
    <row r="138" spans="2:63" x14ac:dyDescent="0.3">
      <c r="B138" s="82"/>
      <c r="C138" s="82"/>
      <c r="D138" s="82"/>
      <c r="E138" s="82"/>
      <c r="F138" s="82"/>
      <c r="G138" s="82"/>
      <c r="H138" s="82"/>
      <c r="I138" s="82"/>
    </row>
    <row r="139" spans="2:63" x14ac:dyDescent="0.3">
      <c r="B139" s="82"/>
      <c r="C139" s="82"/>
      <c r="D139" s="82"/>
      <c r="E139" s="82"/>
      <c r="F139" s="82"/>
      <c r="G139" s="82"/>
      <c r="H139" s="82"/>
      <c r="I139" s="82"/>
    </row>
    <row r="140" spans="2:63" x14ac:dyDescent="0.3">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S31" sqref="S31"/>
    </sheetView>
  </sheetViews>
  <sheetFormatPr baseColWidth="10"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3">
      <c r="A2" s="82"/>
      <c r="B2" s="417" t="s">
        <v>157</v>
      </c>
      <c r="C2" s="418"/>
      <c r="D2" s="418"/>
      <c r="E2" s="418"/>
      <c r="F2" s="418"/>
      <c r="G2" s="418"/>
      <c r="H2" s="418"/>
      <c r="I2" s="418"/>
      <c r="J2" s="339" t="s">
        <v>2</v>
      </c>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3">
      <c r="A3" s="82"/>
      <c r="B3" s="418"/>
      <c r="C3" s="418"/>
      <c r="D3" s="418"/>
      <c r="E3" s="418"/>
      <c r="F3" s="418"/>
      <c r="G3" s="418"/>
      <c r="H3" s="418"/>
      <c r="I3" s="418"/>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3">
      <c r="A4" s="82"/>
      <c r="B4" s="418"/>
      <c r="C4" s="418"/>
      <c r="D4" s="418"/>
      <c r="E4" s="418"/>
      <c r="F4" s="418"/>
      <c r="G4" s="418"/>
      <c r="H4" s="418"/>
      <c r="I4" s="418"/>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339"/>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 thickBot="1" x14ac:dyDescent="0.35">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3">
      <c r="A6" s="82"/>
      <c r="B6" s="350" t="s">
        <v>4</v>
      </c>
      <c r="C6" s="350"/>
      <c r="D6" s="351"/>
      <c r="E6" s="388" t="s">
        <v>115</v>
      </c>
      <c r="F6" s="389"/>
      <c r="G6" s="389"/>
      <c r="H6" s="389"/>
      <c r="I6" s="390"/>
      <c r="J6" s="45" t="str">
        <f>IF(AND('Mapa final'!$Y$10="Muy Alta",'Mapa final'!$AA$10="Leve"),CONCATENATE("R1C",'Mapa final'!$O$10),"")</f>
        <v/>
      </c>
      <c r="K6" s="46" t="str">
        <f>IF(AND('Mapa final'!$Y$11="Muy Alta",'Mapa final'!$AA$11="Leve"),CONCATENATE("R1C",'Mapa final'!$O$11),"")</f>
        <v/>
      </c>
      <c r="L6" s="46" t="str">
        <f>IF(AND('Mapa final'!$Y$12="Muy Alta",'Mapa final'!$AA$12="Leve"),CONCATENATE("R1C",'Mapa final'!$O$12),"")</f>
        <v/>
      </c>
      <c r="M6" s="46" t="str">
        <f>IF(AND('Mapa final'!$Y$13="Muy Alta",'Mapa final'!$AA$13="Leve"),CONCATENATE("R1C",'Mapa final'!$O$13),"")</f>
        <v/>
      </c>
      <c r="N6" s="46" t="str">
        <f>IF(AND('Mapa final'!$Y$14="Muy Alta",'Mapa final'!$AA$14="Leve"),CONCATENATE("R1C",'Mapa final'!$O$14),"")</f>
        <v/>
      </c>
      <c r="O6" s="47" t="str">
        <f>IF(AND('Mapa final'!$Y$15="Muy Alta",'Mapa final'!$AA$15="Leve"),CONCATENATE("R1C",'Mapa final'!$O$15),"")</f>
        <v/>
      </c>
      <c r="P6" s="45" t="str">
        <f>IF(AND('Mapa final'!$Y$10="Muy Alta",'Mapa final'!$AA$10="Menor"),CONCATENATE("R1C",'Mapa final'!$O$10),"")</f>
        <v/>
      </c>
      <c r="Q6" s="46" t="str">
        <f>IF(AND('Mapa final'!$Y$11="Muy Alta",'Mapa final'!$AA$11="Menor"),CONCATENATE("R1C",'Mapa final'!$O$11),"")</f>
        <v/>
      </c>
      <c r="R6" s="46" t="str">
        <f>IF(AND('Mapa final'!$Y$12="Muy Alta",'Mapa final'!$AA$12="Menor"),CONCATENATE("R1C",'Mapa final'!$O$12),"")</f>
        <v/>
      </c>
      <c r="S6" s="46" t="str">
        <f>IF(AND('Mapa final'!$Y$13="Muy Alta",'Mapa final'!$AA$13="Menor"),CONCATENATE("R1C",'Mapa final'!$O$13),"")</f>
        <v/>
      </c>
      <c r="T6" s="46" t="str">
        <f>IF(AND('Mapa final'!$Y$14="Muy Alta",'Mapa final'!$AA$14="Menor"),CONCATENATE("R1C",'Mapa final'!$O$14),"")</f>
        <v/>
      </c>
      <c r="U6" s="47" t="str">
        <f>IF(AND('Mapa final'!$Y$15="Muy Alta",'Mapa final'!$AA$15="Menor"),CONCATENATE("R1C",'Mapa final'!$O$15),"")</f>
        <v/>
      </c>
      <c r="V6" s="45" t="str">
        <f>IF(AND('Mapa final'!$Y$10="Muy Alta",'Mapa final'!$AA$10="Moderado"),CONCATENATE("R1C",'Mapa final'!$O$10),"")</f>
        <v/>
      </c>
      <c r="W6" s="46" t="str">
        <f>IF(AND('Mapa final'!$Y$11="Muy Alta",'Mapa final'!$AA$11="Moderado"),CONCATENATE("R1C",'Mapa final'!$O$11),"")</f>
        <v/>
      </c>
      <c r="X6" s="46" t="str">
        <f>IF(AND('Mapa final'!$Y$12="Muy Alta",'Mapa final'!$AA$12="Moderado"),CONCATENATE("R1C",'Mapa final'!$O$12),"")</f>
        <v/>
      </c>
      <c r="Y6" s="46" t="str">
        <f>IF(AND('Mapa final'!$Y$13="Muy Alta",'Mapa final'!$AA$13="Moderado"),CONCATENATE("R1C",'Mapa final'!$O$13),"")</f>
        <v/>
      </c>
      <c r="Z6" s="46" t="str">
        <f>IF(AND('Mapa final'!$Y$14="Muy Alta",'Mapa final'!$AA$14="Moderado"),CONCATENATE("R1C",'Mapa final'!$O$14),"")</f>
        <v/>
      </c>
      <c r="AA6" s="47" t="str">
        <f>IF(AND('Mapa final'!$Y$15="Muy Alta",'Mapa final'!$AA$15="Moderado"),CONCATENATE("R1C",'Mapa final'!$O$15),"")</f>
        <v/>
      </c>
      <c r="AB6" s="45" t="str">
        <f>IF(AND('Mapa final'!$Y$10="Muy Alta",'Mapa final'!$AA$10="Mayor"),CONCATENATE("R1C",'Mapa final'!$O$10),"")</f>
        <v/>
      </c>
      <c r="AC6" s="46" t="str">
        <f>IF(AND('Mapa final'!$Y$11="Muy Alta",'Mapa final'!$AA$11="Mayor"),CONCATENATE("R1C",'Mapa final'!$O$11),"")</f>
        <v/>
      </c>
      <c r="AD6" s="46" t="str">
        <f>IF(AND('Mapa final'!$Y$12="Muy Alta",'Mapa final'!$AA$12="Mayor"),CONCATENATE("R1C",'Mapa final'!$O$12),"")</f>
        <v/>
      </c>
      <c r="AE6" s="46" t="str">
        <f>IF(AND('Mapa final'!$Y$13="Muy Alta",'Mapa final'!$AA$13="Mayor"),CONCATENATE("R1C",'Mapa final'!$O$13),"")</f>
        <v/>
      </c>
      <c r="AF6" s="46" t="str">
        <f>IF(AND('Mapa final'!$Y$14="Muy Alta",'Mapa final'!$AA$14="Mayor"),CONCATENATE("R1C",'Mapa final'!$O$14),"")</f>
        <v/>
      </c>
      <c r="AG6" s="47" t="str">
        <f>IF(AND('Mapa final'!$Y$15="Muy Alta",'Mapa final'!$AA$15="Mayor"),CONCATENATE("R1C",'Mapa final'!$O$15),"")</f>
        <v/>
      </c>
      <c r="AH6" s="48" t="str">
        <f>IF(AND('Mapa final'!$Y$10="Muy Alta",'Mapa final'!$AA$10="Catastrófico"),CONCATENATE("R1C",'Mapa final'!$O$10),"")</f>
        <v/>
      </c>
      <c r="AI6" s="49" t="str">
        <f>IF(AND('Mapa final'!$Y$11="Muy Alta",'Mapa final'!$AA$11="Catastrófico"),CONCATENATE("R1C",'Mapa final'!$O$11),"")</f>
        <v/>
      </c>
      <c r="AJ6" s="49" t="str">
        <f>IF(AND('Mapa final'!$Y$12="Muy Alta",'Mapa final'!$AA$12="Catastrófico"),CONCATENATE("R1C",'Mapa final'!$O$12),"")</f>
        <v/>
      </c>
      <c r="AK6" s="49" t="str">
        <f>IF(AND('Mapa final'!$Y$13="Muy Alta",'Mapa final'!$AA$13="Catastrófico"),CONCATENATE("R1C",'Mapa final'!$O$13),"")</f>
        <v/>
      </c>
      <c r="AL6" s="49" t="str">
        <f>IF(AND('Mapa final'!$Y$14="Muy Alta",'Mapa final'!$AA$14="Catastrófico"),CONCATENATE("R1C",'Mapa final'!$O$14),"")</f>
        <v/>
      </c>
      <c r="AM6" s="50" t="str">
        <f>IF(AND('Mapa final'!$Y$15="Muy Alta",'Mapa final'!$AA$15="Catastrófico"),CONCATENATE("R1C",'Mapa final'!$O$15),"")</f>
        <v/>
      </c>
      <c r="AN6" s="82"/>
      <c r="AO6" s="408" t="s">
        <v>78</v>
      </c>
      <c r="AP6" s="409"/>
      <c r="AQ6" s="409"/>
      <c r="AR6" s="409"/>
      <c r="AS6" s="409"/>
      <c r="AT6" s="410"/>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3">
      <c r="A7" s="82"/>
      <c r="B7" s="350"/>
      <c r="C7" s="350"/>
      <c r="D7" s="351"/>
      <c r="E7" s="391"/>
      <c r="F7" s="392"/>
      <c r="G7" s="392"/>
      <c r="H7" s="392"/>
      <c r="I7" s="393"/>
      <c r="J7" s="51" t="str">
        <f>IF(AND('Mapa final'!$Y$16="Muy Alta",'Mapa final'!$AA$16="Leve"),CONCATENATE("R2C",'Mapa final'!$O$16),"")</f>
        <v/>
      </c>
      <c r="K7" s="52" t="str">
        <f>IF(AND('Mapa final'!$Y$17="Muy Alta",'Mapa final'!$AA$17="Leve"),CONCATENATE("R2C",'Mapa final'!$O$17),"")</f>
        <v/>
      </c>
      <c r="L7" s="52" t="str">
        <f>IF(AND('Mapa final'!$Y$18="Muy Alta",'Mapa final'!$AA$18="Leve"),CONCATENATE("R2C",'Mapa final'!$O$18),"")</f>
        <v/>
      </c>
      <c r="M7" s="52" t="str">
        <f>IF(AND('Mapa final'!$Y$19="Muy Alta",'Mapa final'!$AA$19="Leve"),CONCATENATE("R2C",'Mapa final'!$O$19),"")</f>
        <v/>
      </c>
      <c r="N7" s="52" t="str">
        <f>IF(AND('Mapa final'!$Y$20="Muy Alta",'Mapa final'!$AA$20="Leve"),CONCATENATE("R2C",'Mapa final'!$O$20),"")</f>
        <v/>
      </c>
      <c r="O7" s="53" t="str">
        <f>IF(AND('Mapa final'!$Y$21="Muy Alta",'Mapa final'!$AA$21="Leve"),CONCATENATE("R2C",'Mapa final'!$O$21),"")</f>
        <v/>
      </c>
      <c r="P7" s="51" t="str">
        <f>IF(AND('Mapa final'!$Y$16="Muy Alta",'Mapa final'!$AA$16="Menor"),CONCATENATE("R2C",'Mapa final'!$O$16),"")</f>
        <v/>
      </c>
      <c r="Q7" s="52" t="str">
        <f>IF(AND('Mapa final'!$Y$17="Muy Alta",'Mapa final'!$AA$17="Menor"),CONCATENATE("R2C",'Mapa final'!$O$17),"")</f>
        <v/>
      </c>
      <c r="R7" s="52" t="str">
        <f>IF(AND('Mapa final'!$Y$18="Muy Alta",'Mapa final'!$AA$18="Menor"),CONCATENATE("R2C",'Mapa final'!$O$18),"")</f>
        <v/>
      </c>
      <c r="S7" s="52" t="str">
        <f>IF(AND('Mapa final'!$Y$19="Muy Alta",'Mapa final'!$AA$19="Menor"),CONCATENATE("R2C",'Mapa final'!$O$19),"")</f>
        <v/>
      </c>
      <c r="T7" s="52" t="str">
        <f>IF(AND('Mapa final'!$Y$20="Muy Alta",'Mapa final'!$AA$20="Menor"),CONCATENATE("R2C",'Mapa final'!$O$20),"")</f>
        <v/>
      </c>
      <c r="U7" s="53" t="str">
        <f>IF(AND('Mapa final'!$Y$21="Muy Alta",'Mapa final'!$AA$21="Menor"),CONCATENATE("R2C",'Mapa final'!$O$21),"")</f>
        <v/>
      </c>
      <c r="V7" s="51" t="str">
        <f>IF(AND('Mapa final'!$Y$16="Muy Alta",'Mapa final'!$AA$16="Moderado"),CONCATENATE("R2C",'Mapa final'!$O$16),"")</f>
        <v/>
      </c>
      <c r="W7" s="52" t="str">
        <f>IF(AND('Mapa final'!$Y$17="Muy Alta",'Mapa final'!$AA$17="Moderado"),CONCATENATE("R2C",'Mapa final'!$O$17),"")</f>
        <v/>
      </c>
      <c r="X7" s="52" t="str">
        <f>IF(AND('Mapa final'!$Y$18="Muy Alta",'Mapa final'!$AA$18="Moderado"),CONCATENATE("R2C",'Mapa final'!$O$18),"")</f>
        <v/>
      </c>
      <c r="Y7" s="52" t="str">
        <f>IF(AND('Mapa final'!$Y$19="Muy Alta",'Mapa final'!$AA$19="Moderado"),CONCATENATE("R2C",'Mapa final'!$O$19),"")</f>
        <v/>
      </c>
      <c r="Z7" s="52" t="str">
        <f>IF(AND('Mapa final'!$Y$20="Muy Alta",'Mapa final'!$AA$20="Moderado"),CONCATENATE("R2C",'Mapa final'!$O$20),"")</f>
        <v/>
      </c>
      <c r="AA7" s="53" t="str">
        <f>IF(AND('Mapa final'!$Y$21="Muy Alta",'Mapa final'!$AA$21="Moderado"),CONCATENATE("R2C",'Mapa final'!$O$21),"")</f>
        <v/>
      </c>
      <c r="AB7" s="51" t="str">
        <f>IF(AND('Mapa final'!$Y$16="Muy Alta",'Mapa final'!$AA$16="Mayor"),CONCATENATE("R2C",'Mapa final'!$O$16),"")</f>
        <v/>
      </c>
      <c r="AC7" s="52" t="str">
        <f>IF(AND('Mapa final'!$Y$17="Muy Alta",'Mapa final'!$AA$17="Mayor"),CONCATENATE("R2C",'Mapa final'!$O$17),"")</f>
        <v/>
      </c>
      <c r="AD7" s="52" t="str">
        <f>IF(AND('Mapa final'!$Y$18="Muy Alta",'Mapa final'!$AA$18="Mayor"),CONCATENATE("R2C",'Mapa final'!$O$18),"")</f>
        <v/>
      </c>
      <c r="AE7" s="52" t="str">
        <f>IF(AND('Mapa final'!$Y$19="Muy Alta",'Mapa final'!$AA$19="Mayor"),CONCATENATE("R2C",'Mapa final'!$O$19),"")</f>
        <v/>
      </c>
      <c r="AF7" s="52" t="str">
        <f>IF(AND('Mapa final'!$Y$20="Muy Alta",'Mapa final'!$AA$20="Mayor"),CONCATENATE("R2C",'Mapa final'!$O$20),"")</f>
        <v/>
      </c>
      <c r="AG7" s="53" t="str">
        <f>IF(AND('Mapa final'!$Y$21="Muy Alta",'Mapa final'!$AA$21="Mayor"),CONCATENATE("R2C",'Mapa final'!$O$21),"")</f>
        <v/>
      </c>
      <c r="AH7" s="54" t="str">
        <f>IF(AND('Mapa final'!$Y$16="Muy Alta",'Mapa final'!$AA$16="Catastrófico"),CONCATENATE("R2C",'Mapa final'!$O$16),"")</f>
        <v/>
      </c>
      <c r="AI7" s="55" t="str">
        <f>IF(AND('Mapa final'!$Y$17="Muy Alta",'Mapa final'!$AA$17="Catastrófico"),CONCATENATE("R2C",'Mapa final'!$O$17),"")</f>
        <v/>
      </c>
      <c r="AJ7" s="55" t="str">
        <f>IF(AND('Mapa final'!$Y$18="Muy Alta",'Mapa final'!$AA$18="Catastrófico"),CONCATENATE("R2C",'Mapa final'!$O$18),"")</f>
        <v/>
      </c>
      <c r="AK7" s="55" t="str">
        <f>IF(AND('Mapa final'!$Y$19="Muy Alta",'Mapa final'!$AA$19="Catastrófico"),CONCATENATE("R2C",'Mapa final'!$O$19),"")</f>
        <v/>
      </c>
      <c r="AL7" s="55" t="str">
        <f>IF(AND('Mapa final'!$Y$20="Muy Alta",'Mapa final'!$AA$20="Catastrófico"),CONCATENATE("R2C",'Mapa final'!$O$20),"")</f>
        <v/>
      </c>
      <c r="AM7" s="56" t="str">
        <f>IF(AND('Mapa final'!$Y$21="Muy Alta",'Mapa final'!$AA$21="Catastrófico"),CONCATENATE("R2C",'Mapa final'!$O$21),"")</f>
        <v/>
      </c>
      <c r="AN7" s="82"/>
      <c r="AO7" s="411"/>
      <c r="AP7" s="412"/>
      <c r="AQ7" s="412"/>
      <c r="AR7" s="412"/>
      <c r="AS7" s="412"/>
      <c r="AT7" s="413"/>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3">
      <c r="A8" s="82"/>
      <c r="B8" s="350"/>
      <c r="C8" s="350"/>
      <c r="D8" s="351"/>
      <c r="E8" s="391"/>
      <c r="F8" s="392"/>
      <c r="G8" s="392"/>
      <c r="H8" s="392"/>
      <c r="I8" s="393"/>
      <c r="J8" s="51" t="str">
        <f>IF(AND('Mapa final'!$Y$22="Muy Alta",'Mapa final'!$AA$22="Leve"),CONCATENATE("R3C",'Mapa final'!$O$22),"")</f>
        <v/>
      </c>
      <c r="K8" s="52" t="str">
        <f>IF(AND('Mapa final'!$Y$23="Muy Alta",'Mapa final'!$AA$23="Leve"),CONCATENATE("R3C",'Mapa final'!$O$23),"")</f>
        <v/>
      </c>
      <c r="L8" s="52" t="str">
        <f>IF(AND('Mapa final'!$Y$24="Muy Alta",'Mapa final'!$AA$24="Leve"),CONCATENATE("R3C",'Mapa final'!$O$24),"")</f>
        <v/>
      </c>
      <c r="M8" s="52" t="str">
        <f>IF(AND('Mapa final'!$Y$25="Muy Alta",'Mapa final'!$AA$25="Leve"),CONCATENATE("R3C",'Mapa final'!$O$25),"")</f>
        <v/>
      </c>
      <c r="N8" s="52" t="str">
        <f>IF(AND('Mapa final'!$Y$26="Muy Alta",'Mapa final'!$AA$26="Leve"),CONCATENATE("R3C",'Mapa final'!$O$26),"")</f>
        <v/>
      </c>
      <c r="O8" s="53" t="str">
        <f>IF(AND('Mapa final'!$Y$27="Muy Alta",'Mapa final'!$AA$27="Leve"),CONCATENATE("R3C",'Mapa final'!$O$27),"")</f>
        <v/>
      </c>
      <c r="P8" s="51" t="str">
        <f>IF(AND('Mapa final'!$Y$22="Muy Alta",'Mapa final'!$AA$22="Menor"),CONCATENATE("R3C",'Mapa final'!$O$22),"")</f>
        <v/>
      </c>
      <c r="Q8" s="52" t="str">
        <f>IF(AND('Mapa final'!$Y$23="Muy Alta",'Mapa final'!$AA$23="Menor"),CONCATENATE("R3C",'Mapa final'!$O$23),"")</f>
        <v/>
      </c>
      <c r="R8" s="52" t="str">
        <f>IF(AND('Mapa final'!$Y$24="Muy Alta",'Mapa final'!$AA$24="Menor"),CONCATENATE("R3C",'Mapa final'!$O$24),"")</f>
        <v/>
      </c>
      <c r="S8" s="52" t="str">
        <f>IF(AND('Mapa final'!$Y$25="Muy Alta",'Mapa final'!$AA$25="Menor"),CONCATENATE("R3C",'Mapa final'!$O$25),"")</f>
        <v/>
      </c>
      <c r="T8" s="52" t="str">
        <f>IF(AND('Mapa final'!$Y$26="Muy Alta",'Mapa final'!$AA$26="Menor"),CONCATENATE("R3C",'Mapa final'!$O$26),"")</f>
        <v/>
      </c>
      <c r="U8" s="53" t="str">
        <f>IF(AND('Mapa final'!$Y$27="Muy Alta",'Mapa final'!$AA$27="Menor"),CONCATENATE("R3C",'Mapa final'!$O$27),"")</f>
        <v/>
      </c>
      <c r="V8" s="51" t="str">
        <f>IF(AND('Mapa final'!$Y$22="Muy Alta",'Mapa final'!$AA$22="Moderado"),CONCATENATE("R3C",'Mapa final'!$O$22),"")</f>
        <v/>
      </c>
      <c r="W8" s="52" t="str">
        <f>IF(AND('Mapa final'!$Y$23="Muy Alta",'Mapa final'!$AA$23="Moderado"),CONCATENATE("R3C",'Mapa final'!$O$23),"")</f>
        <v/>
      </c>
      <c r="X8" s="52" t="str">
        <f>IF(AND('Mapa final'!$Y$24="Muy Alta",'Mapa final'!$AA$24="Moderado"),CONCATENATE("R3C",'Mapa final'!$O$24),"")</f>
        <v/>
      </c>
      <c r="Y8" s="52" t="str">
        <f>IF(AND('Mapa final'!$Y$25="Muy Alta",'Mapa final'!$AA$25="Moderado"),CONCATENATE("R3C",'Mapa final'!$O$25),"")</f>
        <v/>
      </c>
      <c r="Z8" s="52" t="str">
        <f>IF(AND('Mapa final'!$Y$26="Muy Alta",'Mapa final'!$AA$26="Moderado"),CONCATENATE("R3C",'Mapa final'!$O$26),"")</f>
        <v/>
      </c>
      <c r="AA8" s="53" t="str">
        <f>IF(AND('Mapa final'!$Y$27="Muy Alta",'Mapa final'!$AA$27="Moderado"),CONCATENATE("R3C",'Mapa final'!$O$27),"")</f>
        <v/>
      </c>
      <c r="AB8" s="51" t="str">
        <f>IF(AND('Mapa final'!$Y$22="Muy Alta",'Mapa final'!$AA$22="Mayor"),CONCATENATE("R3C",'Mapa final'!$O$22),"")</f>
        <v/>
      </c>
      <c r="AC8" s="52" t="str">
        <f>IF(AND('Mapa final'!$Y$23="Muy Alta",'Mapa final'!$AA$23="Mayor"),CONCATENATE("R3C",'Mapa final'!$O$23),"")</f>
        <v/>
      </c>
      <c r="AD8" s="52" t="str">
        <f>IF(AND('Mapa final'!$Y$24="Muy Alta",'Mapa final'!$AA$24="Mayor"),CONCATENATE("R3C",'Mapa final'!$O$24),"")</f>
        <v/>
      </c>
      <c r="AE8" s="52" t="str">
        <f>IF(AND('Mapa final'!$Y$25="Muy Alta",'Mapa final'!$AA$25="Mayor"),CONCATENATE("R3C",'Mapa final'!$O$25),"")</f>
        <v/>
      </c>
      <c r="AF8" s="52" t="str">
        <f>IF(AND('Mapa final'!$Y$26="Muy Alta",'Mapa final'!$AA$26="Mayor"),CONCATENATE("R3C",'Mapa final'!$O$26),"")</f>
        <v/>
      </c>
      <c r="AG8" s="53" t="str">
        <f>IF(AND('Mapa final'!$Y$27="Muy Alta",'Mapa final'!$AA$27="Mayor"),CONCATENATE("R3C",'Mapa final'!$O$27),"")</f>
        <v/>
      </c>
      <c r="AH8" s="54" t="str">
        <f>IF(AND('Mapa final'!$Y$22="Muy Alta",'Mapa final'!$AA$22="Catastrófico"),CONCATENATE("R3C",'Mapa final'!$O$22),"")</f>
        <v/>
      </c>
      <c r="AI8" s="55" t="str">
        <f>IF(AND('Mapa final'!$Y$23="Muy Alta",'Mapa final'!$AA$23="Catastrófico"),CONCATENATE("R3C",'Mapa final'!$O$23),"")</f>
        <v/>
      </c>
      <c r="AJ8" s="55" t="str">
        <f>IF(AND('Mapa final'!$Y$24="Muy Alta",'Mapa final'!$AA$24="Catastrófico"),CONCATENATE("R3C",'Mapa final'!$O$24),"")</f>
        <v/>
      </c>
      <c r="AK8" s="55" t="str">
        <f>IF(AND('Mapa final'!$Y$25="Muy Alta",'Mapa final'!$AA$25="Catastrófico"),CONCATENATE("R3C",'Mapa final'!$O$25),"")</f>
        <v/>
      </c>
      <c r="AL8" s="55" t="str">
        <f>IF(AND('Mapa final'!$Y$26="Muy Alta",'Mapa final'!$AA$26="Catastrófico"),CONCATENATE("R3C",'Mapa final'!$O$26),"")</f>
        <v/>
      </c>
      <c r="AM8" s="56" t="str">
        <f>IF(AND('Mapa final'!$Y$27="Muy Alta",'Mapa final'!$AA$27="Catastrófico"),CONCATENATE("R3C",'Mapa final'!$O$27),"")</f>
        <v/>
      </c>
      <c r="AN8" s="82"/>
      <c r="AO8" s="411"/>
      <c r="AP8" s="412"/>
      <c r="AQ8" s="412"/>
      <c r="AR8" s="412"/>
      <c r="AS8" s="412"/>
      <c r="AT8" s="413"/>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3">
      <c r="A9" s="82"/>
      <c r="B9" s="350"/>
      <c r="C9" s="350"/>
      <c r="D9" s="351"/>
      <c r="E9" s="391"/>
      <c r="F9" s="392"/>
      <c r="G9" s="392"/>
      <c r="H9" s="392"/>
      <c r="I9" s="393"/>
      <c r="J9" s="51" t="str">
        <f>IF(AND('Mapa final'!$Y$28="Muy Alta",'Mapa final'!$AA$28="Leve"),CONCATENATE("R4C",'Mapa final'!$O$28),"")</f>
        <v/>
      </c>
      <c r="K9" s="52" t="str">
        <f>IF(AND('Mapa final'!$Y$29="Muy Alta",'Mapa final'!$AA$29="Leve"),CONCATENATE("R4C",'Mapa final'!$O$29),"")</f>
        <v/>
      </c>
      <c r="L9" s="52" t="str">
        <f>IF(AND('Mapa final'!$Y$30="Muy Alta",'Mapa final'!$AA$30="Leve"),CONCATENATE("R4C",'Mapa final'!$O$30),"")</f>
        <v/>
      </c>
      <c r="M9" s="52" t="str">
        <f>IF(AND('Mapa final'!$Y$31="Muy Alta",'Mapa final'!$AA$31="Leve"),CONCATENATE("R4C",'Mapa final'!$O$31),"")</f>
        <v/>
      </c>
      <c r="N9" s="52" t="str">
        <f>IF(AND('Mapa final'!$Y$32="Muy Alta",'Mapa final'!$AA$32="Leve"),CONCATENATE("R4C",'Mapa final'!$O$32),"")</f>
        <v/>
      </c>
      <c r="O9" s="53" t="str">
        <f>IF(AND('Mapa final'!$Y$33="Muy Alta",'Mapa final'!$AA$33="Leve"),CONCATENATE("R4C",'Mapa final'!$O$33),"")</f>
        <v/>
      </c>
      <c r="P9" s="51" t="str">
        <f>IF(AND('Mapa final'!$Y$28="Muy Alta",'Mapa final'!$AA$28="Menor"),CONCATENATE("R4C",'Mapa final'!$O$28),"")</f>
        <v>R4C1</v>
      </c>
      <c r="Q9" s="52" t="str">
        <f>IF(AND('Mapa final'!$Y$29="Muy Alta",'Mapa final'!$AA$29="Menor"),CONCATENATE("R4C",'Mapa final'!$O$29),"")</f>
        <v/>
      </c>
      <c r="R9" s="52" t="str">
        <f>IF(AND('Mapa final'!$Y$30="Muy Alta",'Mapa final'!$AA$30="Menor"),CONCATENATE("R4C",'Mapa final'!$O$30),"")</f>
        <v/>
      </c>
      <c r="S9" s="52" t="str">
        <f>IF(AND('Mapa final'!$Y$31="Muy Alta",'Mapa final'!$AA$31="Menor"),CONCATENATE("R4C",'Mapa final'!$O$31),"")</f>
        <v/>
      </c>
      <c r="T9" s="52" t="str">
        <f>IF(AND('Mapa final'!$Y$32="Muy Alta",'Mapa final'!$AA$32="Menor"),CONCATENATE("R4C",'Mapa final'!$O$32),"")</f>
        <v/>
      </c>
      <c r="U9" s="53" t="str">
        <f>IF(AND('Mapa final'!$Y$33="Muy Alta",'Mapa final'!$AA$33="Menor"),CONCATENATE("R4C",'Mapa final'!$O$33),"")</f>
        <v/>
      </c>
      <c r="V9" s="51" t="str">
        <f>IF(AND('Mapa final'!$Y$28="Muy Alta",'Mapa final'!$AA$28="Moderado"),CONCATENATE("R4C",'Mapa final'!$O$28),"")</f>
        <v/>
      </c>
      <c r="W9" s="52" t="str">
        <f>IF(AND('Mapa final'!$Y$29="Muy Alta",'Mapa final'!$AA$29="Moderado"),CONCATENATE("R4C",'Mapa final'!$O$29),"")</f>
        <v/>
      </c>
      <c r="X9" s="52" t="str">
        <f>IF(AND('Mapa final'!$Y$30="Muy Alta",'Mapa final'!$AA$30="Moderado"),CONCATENATE("R4C",'Mapa final'!$O$30),"")</f>
        <v/>
      </c>
      <c r="Y9" s="52" t="str">
        <f>IF(AND('Mapa final'!$Y$31="Muy Alta",'Mapa final'!$AA$31="Moderado"),CONCATENATE("R4C",'Mapa final'!$O$31),"")</f>
        <v/>
      </c>
      <c r="Z9" s="52" t="str">
        <f>IF(AND('Mapa final'!$Y$32="Muy Alta",'Mapa final'!$AA$32="Moderado"),CONCATENATE("R4C",'Mapa final'!$O$32),"")</f>
        <v/>
      </c>
      <c r="AA9" s="53" t="str">
        <f>IF(AND('Mapa final'!$Y$33="Muy Alta",'Mapa final'!$AA$33="Moderado"),CONCATENATE("R4C",'Mapa final'!$O$33),"")</f>
        <v/>
      </c>
      <c r="AB9" s="51" t="str">
        <f>IF(AND('Mapa final'!$Y$28="Muy Alta",'Mapa final'!$AA$28="Mayor"),CONCATENATE("R4C",'Mapa final'!$O$28),"")</f>
        <v/>
      </c>
      <c r="AC9" s="52" t="str">
        <f>IF(AND('Mapa final'!$Y$29="Muy Alta",'Mapa final'!$AA$29="Mayor"),CONCATENATE("R4C",'Mapa final'!$O$29),"")</f>
        <v/>
      </c>
      <c r="AD9" s="52" t="str">
        <f>IF(AND('Mapa final'!$Y$30="Muy Alta",'Mapa final'!$AA$30="Mayor"),CONCATENATE("R4C",'Mapa final'!$O$30),"")</f>
        <v/>
      </c>
      <c r="AE9" s="52" t="str">
        <f>IF(AND('Mapa final'!$Y$31="Muy Alta",'Mapa final'!$AA$31="Mayor"),CONCATENATE("R4C",'Mapa final'!$O$31),"")</f>
        <v/>
      </c>
      <c r="AF9" s="52" t="str">
        <f>IF(AND('Mapa final'!$Y$32="Muy Alta",'Mapa final'!$AA$32="Mayor"),CONCATENATE("R4C",'Mapa final'!$O$32),"")</f>
        <v/>
      </c>
      <c r="AG9" s="53" t="str">
        <f>IF(AND('Mapa final'!$Y$33="Muy Alta",'Mapa final'!$AA$33="Mayor"),CONCATENATE("R4C",'Mapa final'!$O$33),"")</f>
        <v/>
      </c>
      <c r="AH9" s="54" t="str">
        <f>IF(AND('Mapa final'!$Y$28="Muy Alta",'Mapa final'!$AA$28="Catastrófico"),CONCATENATE("R4C",'Mapa final'!$O$28),"")</f>
        <v/>
      </c>
      <c r="AI9" s="55" t="str">
        <f>IF(AND('Mapa final'!$Y$29="Muy Alta",'Mapa final'!$AA$29="Catastrófico"),CONCATENATE("R4C",'Mapa final'!$O$29),"")</f>
        <v/>
      </c>
      <c r="AJ9" s="55" t="str">
        <f>IF(AND('Mapa final'!$Y$30="Muy Alta",'Mapa final'!$AA$30="Catastrófico"),CONCATENATE("R4C",'Mapa final'!$O$30),"")</f>
        <v/>
      </c>
      <c r="AK9" s="55" t="str">
        <f>IF(AND('Mapa final'!$Y$31="Muy Alta",'Mapa final'!$AA$31="Catastrófico"),CONCATENATE("R4C",'Mapa final'!$O$31),"")</f>
        <v/>
      </c>
      <c r="AL9" s="55" t="str">
        <f>IF(AND('Mapa final'!$Y$32="Muy Alta",'Mapa final'!$AA$32="Catastrófico"),CONCATENATE("R4C",'Mapa final'!$O$32),"")</f>
        <v/>
      </c>
      <c r="AM9" s="56" t="str">
        <f>IF(AND('Mapa final'!$Y$33="Muy Alta",'Mapa final'!$AA$33="Catastrófico"),CONCATENATE("R4C",'Mapa final'!$O$33),"")</f>
        <v/>
      </c>
      <c r="AN9" s="82"/>
      <c r="AO9" s="411"/>
      <c r="AP9" s="412"/>
      <c r="AQ9" s="412"/>
      <c r="AR9" s="412"/>
      <c r="AS9" s="412"/>
      <c r="AT9" s="413"/>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3">
      <c r="A10" s="82"/>
      <c r="B10" s="350"/>
      <c r="C10" s="350"/>
      <c r="D10" s="351"/>
      <c r="E10" s="391"/>
      <c r="F10" s="392"/>
      <c r="G10" s="392"/>
      <c r="H10" s="392"/>
      <c r="I10" s="393"/>
      <c r="J10" s="51" t="str">
        <f>IF(AND('Mapa final'!$Y$34="Muy Alta",'Mapa final'!$AA$34="Leve"),CONCATENATE("R5C",'Mapa final'!$O$34),"")</f>
        <v/>
      </c>
      <c r="K10" s="52" t="e">
        <f>IF(AND('Mapa final'!#REF!="Muy Alta",'Mapa final'!#REF!="Leve"),CONCATENATE("R5C",'Mapa final'!#REF!),"")</f>
        <v>#REF!</v>
      </c>
      <c r="L10" s="52" t="e">
        <f>IF(AND('Mapa final'!#REF!="Muy Alta",'Mapa final'!#REF!="Leve"),CONCATENATE("R5C",'Mapa final'!#REF!),"")</f>
        <v>#REF!</v>
      </c>
      <c r="M10" s="52" t="e">
        <f>IF(AND('Mapa final'!#REF!="Muy Alta",'Mapa final'!#REF!="Leve"),CONCATENATE("R5C",'Mapa final'!#REF!),"")</f>
        <v>#REF!</v>
      </c>
      <c r="N10" s="52" t="str">
        <f>IF(AND('Mapa final'!$Y$35="Muy Alta",'Mapa final'!$AA$35="Leve"),CONCATENATE("R5C",'Mapa final'!$O$35),"")</f>
        <v/>
      </c>
      <c r="O10" s="53" t="str">
        <f>IF(AND('Mapa final'!$Y$36="Muy Alta",'Mapa final'!$AA$36="Leve"),CONCATENATE("R5C",'Mapa final'!$O$36),"")</f>
        <v/>
      </c>
      <c r="P10" s="51" t="str">
        <f>IF(AND('Mapa final'!$Y$34="Muy Alta",'Mapa final'!$AA$34="Menor"),CONCATENATE("R5C",'Mapa final'!$O$34),"")</f>
        <v/>
      </c>
      <c r="Q10" s="52" t="e">
        <f>IF(AND('Mapa final'!#REF!="Muy Alta",'Mapa final'!#REF!="Menor"),CONCATENATE("R5C",'Mapa final'!#REF!),"")</f>
        <v>#REF!</v>
      </c>
      <c r="R10" s="52" t="e">
        <f>IF(AND('Mapa final'!#REF!="Muy Alta",'Mapa final'!#REF!="Menor"),CONCATENATE("R5C",'Mapa final'!#REF!),"")</f>
        <v>#REF!</v>
      </c>
      <c r="S10" s="52" t="e">
        <f>IF(AND('Mapa final'!#REF!="Muy Alta",'Mapa final'!#REF!="Menor"),CONCATENATE("R5C",'Mapa final'!#REF!),"")</f>
        <v>#REF!</v>
      </c>
      <c r="T10" s="52" t="str">
        <f>IF(AND('Mapa final'!$Y$35="Muy Alta",'Mapa final'!$AA$35="Menor"),CONCATENATE("R5C",'Mapa final'!$O$35),"")</f>
        <v/>
      </c>
      <c r="U10" s="53" t="str">
        <f>IF(AND('Mapa final'!$Y$36="Muy Alta",'Mapa final'!$AA$36="Menor"),CONCATENATE("R5C",'Mapa final'!$O$36),"")</f>
        <v/>
      </c>
      <c r="V10" s="51" t="str">
        <f>IF(AND('Mapa final'!$Y$34="Muy Alta",'Mapa final'!$AA$34="Moderado"),CONCATENATE("R5C",'Mapa final'!$O$34),"")</f>
        <v/>
      </c>
      <c r="W10" s="52" t="e">
        <f>IF(AND('Mapa final'!#REF!="Muy Alta",'Mapa final'!#REF!="Moderado"),CONCATENATE("R5C",'Mapa final'!#REF!),"")</f>
        <v>#REF!</v>
      </c>
      <c r="X10" s="52" t="e">
        <f>IF(AND('Mapa final'!#REF!="Muy Alta",'Mapa final'!#REF!="Moderado"),CONCATENATE("R5C",'Mapa final'!#REF!),"")</f>
        <v>#REF!</v>
      </c>
      <c r="Y10" s="52" t="e">
        <f>IF(AND('Mapa final'!#REF!="Muy Alta",'Mapa final'!#REF!="Moderado"),CONCATENATE("R5C",'Mapa final'!#REF!),"")</f>
        <v>#REF!</v>
      </c>
      <c r="Z10" s="52" t="str">
        <f>IF(AND('Mapa final'!$Y$35="Muy Alta",'Mapa final'!$AA$35="Moderado"),CONCATENATE("R5C",'Mapa final'!$O$35),"")</f>
        <v/>
      </c>
      <c r="AA10" s="53" t="str">
        <f>IF(AND('Mapa final'!$Y$36="Muy Alta",'Mapa final'!$AA$36="Moderado"),CONCATENATE("R5C",'Mapa final'!$O$36),"")</f>
        <v/>
      </c>
      <c r="AB10" s="51" t="str">
        <f>IF(AND('Mapa final'!$Y$34="Muy Alta",'Mapa final'!$AA$34="Mayor"),CONCATENATE("R5C",'Mapa final'!$O$34),"")</f>
        <v/>
      </c>
      <c r="AC10" s="52" t="e">
        <f>IF(AND('Mapa final'!#REF!="Muy Alta",'Mapa final'!#REF!="Mayor"),CONCATENATE("R5C",'Mapa final'!#REF!),"")</f>
        <v>#REF!</v>
      </c>
      <c r="AD10" s="52" t="e">
        <f>IF(AND('Mapa final'!#REF!="Muy Alta",'Mapa final'!#REF!="Mayor"),CONCATENATE("R5C",'Mapa final'!#REF!),"")</f>
        <v>#REF!</v>
      </c>
      <c r="AE10" s="52" t="e">
        <f>IF(AND('Mapa final'!#REF!="Muy Alta",'Mapa final'!#REF!="Mayor"),CONCATENATE("R5C",'Mapa final'!#REF!),"")</f>
        <v>#REF!</v>
      </c>
      <c r="AF10" s="52" t="str">
        <f>IF(AND('Mapa final'!$Y$35="Muy Alta",'Mapa final'!$AA$35="Mayor"),CONCATENATE("R5C",'Mapa final'!$O$35),"")</f>
        <v/>
      </c>
      <c r="AG10" s="53" t="str">
        <f>IF(AND('Mapa final'!$Y$36="Muy Alta",'Mapa final'!$AA$36="Mayor"),CONCATENATE("R5C",'Mapa final'!$O$36),"")</f>
        <v/>
      </c>
      <c r="AH10" s="54" t="str">
        <f>IF(AND('Mapa final'!$Y$34="Muy Alta",'Mapa final'!$AA$34="Catastrófico"),CONCATENATE("R5C",'Mapa final'!$O$34),"")</f>
        <v/>
      </c>
      <c r="AI10" s="55" t="e">
        <f>IF(AND('Mapa final'!#REF!="Muy Alta",'Mapa final'!#REF!="Catastrófico"),CONCATENATE("R5C",'Mapa final'!#REF!),"")</f>
        <v>#REF!</v>
      </c>
      <c r="AJ10" s="55" t="e">
        <f>IF(AND('Mapa final'!#REF!="Muy Alta",'Mapa final'!#REF!="Catastrófico"),CONCATENATE("R5C",'Mapa final'!#REF!),"")</f>
        <v>#REF!</v>
      </c>
      <c r="AK10" s="55" t="e">
        <f>IF(AND('Mapa final'!#REF!="Muy Alta",'Mapa final'!#REF!="Catastrófico"),CONCATENATE("R5C",'Mapa final'!#REF!),"")</f>
        <v>#REF!</v>
      </c>
      <c r="AL10" s="55" t="str">
        <f>IF(AND('Mapa final'!$Y$35="Muy Alta",'Mapa final'!$AA$35="Catastrófico"),CONCATENATE("R5C",'Mapa final'!$O$35),"")</f>
        <v/>
      </c>
      <c r="AM10" s="56" t="str">
        <f>IF(AND('Mapa final'!$Y$36="Muy Alta",'Mapa final'!$AA$36="Catastrófico"),CONCATENATE("R5C",'Mapa final'!$O$36),"")</f>
        <v/>
      </c>
      <c r="AN10" s="82"/>
      <c r="AO10" s="411"/>
      <c r="AP10" s="412"/>
      <c r="AQ10" s="412"/>
      <c r="AR10" s="412"/>
      <c r="AS10" s="412"/>
      <c r="AT10" s="413"/>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3">
      <c r="A11" s="82"/>
      <c r="B11" s="350"/>
      <c r="C11" s="350"/>
      <c r="D11" s="351"/>
      <c r="E11" s="391"/>
      <c r="F11" s="392"/>
      <c r="G11" s="392"/>
      <c r="H11" s="392"/>
      <c r="I11" s="393"/>
      <c r="J11" s="51" t="str">
        <f>IF(AND('Mapa final'!$Y$37="Muy Alta",'Mapa final'!$AA$37="Leve"),CONCATENATE("R6C",'Mapa final'!$O$37),"")</f>
        <v/>
      </c>
      <c r="K11" s="52" t="str">
        <f>IF(AND('Mapa final'!$Y$38="Muy Alta",'Mapa final'!$AA$38="Leve"),CONCATENATE("R6C",'Mapa final'!$O$38),"")</f>
        <v/>
      </c>
      <c r="L11" s="52" t="str">
        <f>IF(AND('Mapa final'!$Y$39="Muy Alta",'Mapa final'!$AA$39="Leve"),CONCATENATE("R6C",'Mapa final'!$O$39),"")</f>
        <v/>
      </c>
      <c r="M11" s="52" t="str">
        <f>IF(AND('Mapa final'!$Y$40="Muy Alta",'Mapa final'!$AA$40="Leve"),CONCATENATE("R6C",'Mapa final'!$O$40),"")</f>
        <v/>
      </c>
      <c r="N11" s="52" t="str">
        <f>IF(AND('Mapa final'!$Y$41="Muy Alta",'Mapa final'!$AA$41="Leve"),CONCATENATE("R6C",'Mapa final'!$O$41),"")</f>
        <v/>
      </c>
      <c r="O11" s="53" t="str">
        <f>IF(AND('Mapa final'!$Y$42="Muy Alta",'Mapa final'!$AA$42="Leve"),CONCATENATE("R6C",'Mapa final'!$O$42),"")</f>
        <v/>
      </c>
      <c r="P11" s="51" t="str">
        <f>IF(AND('Mapa final'!$Y$37="Muy Alta",'Mapa final'!$AA$37="Menor"),CONCATENATE("R6C",'Mapa final'!$O$37),"")</f>
        <v/>
      </c>
      <c r="Q11" s="52" t="str">
        <f>IF(AND('Mapa final'!$Y$38="Muy Alta",'Mapa final'!$AA$38="Menor"),CONCATENATE("R6C",'Mapa final'!$O$38),"")</f>
        <v/>
      </c>
      <c r="R11" s="52" t="str">
        <f>IF(AND('Mapa final'!$Y$39="Muy Alta",'Mapa final'!$AA$39="Menor"),CONCATENATE("R6C",'Mapa final'!$O$39),"")</f>
        <v/>
      </c>
      <c r="S11" s="52" t="str">
        <f>IF(AND('Mapa final'!$Y$40="Muy Alta",'Mapa final'!$AA$40="Menor"),CONCATENATE("R6C",'Mapa final'!$O$40),"")</f>
        <v/>
      </c>
      <c r="T11" s="52" t="str">
        <f>IF(AND('Mapa final'!$Y$41="Muy Alta",'Mapa final'!$AA$41="Menor"),CONCATENATE("R6C",'Mapa final'!$O$41),"")</f>
        <v/>
      </c>
      <c r="U11" s="53" t="str">
        <f>IF(AND('Mapa final'!$Y$42="Muy Alta",'Mapa final'!$AA$42="Menor"),CONCATENATE("R6C",'Mapa final'!$O$42),"")</f>
        <v/>
      </c>
      <c r="V11" s="51" t="str">
        <f>IF(AND('Mapa final'!$Y$37="Muy Alta",'Mapa final'!$AA$37="Moderado"),CONCATENATE("R6C",'Mapa final'!$O$37),"")</f>
        <v/>
      </c>
      <c r="W11" s="52" t="str">
        <f>IF(AND('Mapa final'!$Y$38="Muy Alta",'Mapa final'!$AA$38="Moderado"),CONCATENATE("R6C",'Mapa final'!$O$38),"")</f>
        <v/>
      </c>
      <c r="X11" s="52" t="str">
        <f>IF(AND('Mapa final'!$Y$39="Muy Alta",'Mapa final'!$AA$39="Moderado"),CONCATENATE("R6C",'Mapa final'!$O$39),"")</f>
        <v/>
      </c>
      <c r="Y11" s="52" t="str">
        <f>IF(AND('Mapa final'!$Y$40="Muy Alta",'Mapa final'!$AA$40="Moderado"),CONCATENATE("R6C",'Mapa final'!$O$40),"")</f>
        <v/>
      </c>
      <c r="Z11" s="52" t="str">
        <f>IF(AND('Mapa final'!$Y$41="Muy Alta",'Mapa final'!$AA$41="Moderado"),CONCATENATE("R6C",'Mapa final'!$O$41),"")</f>
        <v/>
      </c>
      <c r="AA11" s="53" t="str">
        <f>IF(AND('Mapa final'!$Y$42="Muy Alta",'Mapa final'!$AA$42="Moderado"),CONCATENATE("R6C",'Mapa final'!$O$42),"")</f>
        <v/>
      </c>
      <c r="AB11" s="51" t="str">
        <f>IF(AND('Mapa final'!$Y$37="Muy Alta",'Mapa final'!$AA$37="Mayor"),CONCATENATE("R6C",'Mapa final'!$O$37),"")</f>
        <v/>
      </c>
      <c r="AC11" s="52" t="str">
        <f>IF(AND('Mapa final'!$Y$38="Muy Alta",'Mapa final'!$AA$38="Mayor"),CONCATENATE("R6C",'Mapa final'!$O$38),"")</f>
        <v/>
      </c>
      <c r="AD11" s="52" t="str">
        <f>IF(AND('Mapa final'!$Y$39="Muy Alta",'Mapa final'!$AA$39="Mayor"),CONCATENATE("R6C",'Mapa final'!$O$39),"")</f>
        <v/>
      </c>
      <c r="AE11" s="52" t="str">
        <f>IF(AND('Mapa final'!$Y$40="Muy Alta",'Mapa final'!$AA$40="Mayor"),CONCATENATE("R6C",'Mapa final'!$O$40),"")</f>
        <v/>
      </c>
      <c r="AF11" s="52" t="str">
        <f>IF(AND('Mapa final'!$Y$41="Muy Alta",'Mapa final'!$AA$41="Mayor"),CONCATENATE("R6C",'Mapa final'!$O$41),"")</f>
        <v/>
      </c>
      <c r="AG11" s="53" t="str">
        <f>IF(AND('Mapa final'!$Y$42="Muy Alta",'Mapa final'!$AA$42="Mayor"),CONCATENATE("R6C",'Mapa final'!$O$42),"")</f>
        <v/>
      </c>
      <c r="AH11" s="54" t="str">
        <f>IF(AND('Mapa final'!$Y$37="Muy Alta",'Mapa final'!$AA$37="Catastrófico"),CONCATENATE("R6C",'Mapa final'!$O$37),"")</f>
        <v/>
      </c>
      <c r="AI11" s="55" t="str">
        <f>IF(AND('Mapa final'!$Y$38="Muy Alta",'Mapa final'!$AA$38="Catastrófico"),CONCATENATE("R6C",'Mapa final'!$O$38),"")</f>
        <v/>
      </c>
      <c r="AJ11" s="55" t="str">
        <f>IF(AND('Mapa final'!$Y$39="Muy Alta",'Mapa final'!$AA$39="Catastrófico"),CONCATENATE("R6C",'Mapa final'!$O$39),"")</f>
        <v/>
      </c>
      <c r="AK11" s="55" t="str">
        <f>IF(AND('Mapa final'!$Y$40="Muy Alta",'Mapa final'!$AA$40="Catastrófico"),CONCATENATE("R6C",'Mapa final'!$O$40),"")</f>
        <v/>
      </c>
      <c r="AL11" s="55" t="str">
        <f>IF(AND('Mapa final'!$Y$41="Muy Alta",'Mapa final'!$AA$41="Catastrófico"),CONCATENATE("R6C",'Mapa final'!$O$41),"")</f>
        <v/>
      </c>
      <c r="AM11" s="56" t="str">
        <f>IF(AND('Mapa final'!$Y$42="Muy Alta",'Mapa final'!$AA$42="Catastrófico"),CONCATENATE("R6C",'Mapa final'!$O$42),"")</f>
        <v/>
      </c>
      <c r="AN11" s="82"/>
      <c r="AO11" s="411"/>
      <c r="AP11" s="412"/>
      <c r="AQ11" s="412"/>
      <c r="AR11" s="412"/>
      <c r="AS11" s="412"/>
      <c r="AT11" s="413"/>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3">
      <c r="A12" s="82"/>
      <c r="B12" s="350"/>
      <c r="C12" s="350"/>
      <c r="D12" s="351"/>
      <c r="E12" s="391"/>
      <c r="F12" s="392"/>
      <c r="G12" s="392"/>
      <c r="H12" s="392"/>
      <c r="I12" s="393"/>
      <c r="J12" s="51" t="str">
        <f>IF(AND('Mapa final'!$Y$43="Muy Alta",'Mapa final'!$AA$43="Leve"),CONCATENATE("R7C",'Mapa final'!$O$43),"")</f>
        <v/>
      </c>
      <c r="K12" s="52" t="str">
        <f>IF(AND('Mapa final'!$Y$44="Muy Alta",'Mapa final'!$AA$44="Leve"),CONCATENATE("R7C",'Mapa final'!$O$44),"")</f>
        <v/>
      </c>
      <c r="L12" s="52" t="str">
        <f>IF(AND('Mapa final'!$Y$45="Muy Alta",'Mapa final'!$AA$45="Leve"),CONCATENATE("R7C",'Mapa final'!$O$45),"")</f>
        <v/>
      </c>
      <c r="M12" s="52" t="str">
        <f>IF(AND('Mapa final'!$Y$46="Muy Alta",'Mapa final'!$AA$46="Leve"),CONCATENATE("R7C",'Mapa final'!$O$46),"")</f>
        <v/>
      </c>
      <c r="N12" s="52" t="str">
        <f>IF(AND('Mapa final'!$Y$47="Muy Alta",'Mapa final'!$AA$47="Leve"),CONCATENATE("R7C",'Mapa final'!$O$47),"")</f>
        <v/>
      </c>
      <c r="O12" s="53" t="str">
        <f>IF(AND('Mapa final'!$Y$48="Muy Alta",'Mapa final'!$AA$48="Leve"),CONCATENATE("R7C",'Mapa final'!$O$48),"")</f>
        <v/>
      </c>
      <c r="P12" s="51" t="str">
        <f>IF(AND('Mapa final'!$Y$43="Muy Alta",'Mapa final'!$AA$43="Menor"),CONCATENATE("R7C",'Mapa final'!$O$43),"")</f>
        <v/>
      </c>
      <c r="Q12" s="52" t="str">
        <f>IF(AND('Mapa final'!$Y$44="Muy Alta",'Mapa final'!$AA$44="Menor"),CONCATENATE("R7C",'Mapa final'!$O$44),"")</f>
        <v/>
      </c>
      <c r="R12" s="52" t="str">
        <f>IF(AND('Mapa final'!$Y$45="Muy Alta",'Mapa final'!$AA$45="Menor"),CONCATENATE("R7C",'Mapa final'!$O$45),"")</f>
        <v/>
      </c>
      <c r="S12" s="52" t="str">
        <f>IF(AND('Mapa final'!$Y$46="Muy Alta",'Mapa final'!$AA$46="Menor"),CONCATENATE("R7C",'Mapa final'!$O$46),"")</f>
        <v/>
      </c>
      <c r="T12" s="52" t="str">
        <f>IF(AND('Mapa final'!$Y$47="Muy Alta",'Mapa final'!$AA$47="Menor"),CONCATENATE("R7C",'Mapa final'!$O$47),"")</f>
        <v/>
      </c>
      <c r="U12" s="53" t="str">
        <f>IF(AND('Mapa final'!$Y$48="Muy Alta",'Mapa final'!$AA$48="Menor"),CONCATENATE("R7C",'Mapa final'!$O$48),"")</f>
        <v/>
      </c>
      <c r="V12" s="51" t="str">
        <f>IF(AND('Mapa final'!$Y$43="Muy Alta",'Mapa final'!$AA$43="Moderado"),CONCATENATE("R7C",'Mapa final'!$O$43),"")</f>
        <v/>
      </c>
      <c r="W12" s="52" t="str">
        <f>IF(AND('Mapa final'!$Y$44="Muy Alta",'Mapa final'!$AA$44="Moderado"),CONCATENATE("R7C",'Mapa final'!$O$44),"")</f>
        <v/>
      </c>
      <c r="X12" s="52" t="str">
        <f>IF(AND('Mapa final'!$Y$45="Muy Alta",'Mapa final'!$AA$45="Moderado"),CONCATENATE("R7C",'Mapa final'!$O$45),"")</f>
        <v/>
      </c>
      <c r="Y12" s="52" t="str">
        <f>IF(AND('Mapa final'!$Y$46="Muy Alta",'Mapa final'!$AA$46="Moderado"),CONCATENATE("R7C",'Mapa final'!$O$46),"")</f>
        <v/>
      </c>
      <c r="Z12" s="52" t="str">
        <f>IF(AND('Mapa final'!$Y$47="Muy Alta",'Mapa final'!$AA$47="Moderado"),CONCATENATE("R7C",'Mapa final'!$O$47),"")</f>
        <v/>
      </c>
      <c r="AA12" s="53" t="str">
        <f>IF(AND('Mapa final'!$Y$48="Muy Alta",'Mapa final'!$AA$48="Moderado"),CONCATENATE("R7C",'Mapa final'!$O$48),"")</f>
        <v/>
      </c>
      <c r="AB12" s="51" t="str">
        <f>IF(AND('Mapa final'!$Y$43="Muy Alta",'Mapa final'!$AA$43="Mayor"),CONCATENATE("R7C",'Mapa final'!$O$43),"")</f>
        <v/>
      </c>
      <c r="AC12" s="52" t="str">
        <f>IF(AND('Mapa final'!$Y$44="Muy Alta",'Mapa final'!$AA$44="Mayor"),CONCATENATE("R7C",'Mapa final'!$O$44),"")</f>
        <v/>
      </c>
      <c r="AD12" s="52" t="str">
        <f>IF(AND('Mapa final'!$Y$45="Muy Alta",'Mapa final'!$AA$45="Mayor"),CONCATENATE("R7C",'Mapa final'!$O$45),"")</f>
        <v/>
      </c>
      <c r="AE12" s="52" t="str">
        <f>IF(AND('Mapa final'!$Y$46="Muy Alta",'Mapa final'!$AA$46="Mayor"),CONCATENATE("R7C",'Mapa final'!$O$46),"")</f>
        <v/>
      </c>
      <c r="AF12" s="52" t="str">
        <f>IF(AND('Mapa final'!$Y$47="Muy Alta",'Mapa final'!$AA$47="Mayor"),CONCATENATE("R7C",'Mapa final'!$O$47),"")</f>
        <v/>
      </c>
      <c r="AG12" s="53" t="str">
        <f>IF(AND('Mapa final'!$Y$48="Muy Alta",'Mapa final'!$AA$48="Mayor"),CONCATENATE("R7C",'Mapa final'!$O$48),"")</f>
        <v/>
      </c>
      <c r="AH12" s="54" t="str">
        <f>IF(AND('Mapa final'!$Y$43="Muy Alta",'Mapa final'!$AA$43="Catastrófico"),CONCATENATE("R7C",'Mapa final'!$O$43),"")</f>
        <v/>
      </c>
      <c r="AI12" s="55" t="str">
        <f>IF(AND('Mapa final'!$Y$44="Muy Alta",'Mapa final'!$AA$44="Catastrófico"),CONCATENATE("R7C",'Mapa final'!$O$44),"")</f>
        <v/>
      </c>
      <c r="AJ12" s="55" t="str">
        <f>IF(AND('Mapa final'!$Y$45="Muy Alta",'Mapa final'!$AA$45="Catastrófico"),CONCATENATE("R7C",'Mapa final'!$O$45),"")</f>
        <v/>
      </c>
      <c r="AK12" s="55" t="str">
        <f>IF(AND('Mapa final'!$Y$46="Muy Alta",'Mapa final'!$AA$46="Catastrófico"),CONCATENATE("R7C",'Mapa final'!$O$46),"")</f>
        <v/>
      </c>
      <c r="AL12" s="55" t="str">
        <f>IF(AND('Mapa final'!$Y$47="Muy Alta",'Mapa final'!$AA$47="Catastrófico"),CONCATENATE("R7C",'Mapa final'!$O$47),"")</f>
        <v/>
      </c>
      <c r="AM12" s="56" t="str">
        <f>IF(AND('Mapa final'!$Y$48="Muy Alta",'Mapa final'!$AA$48="Catastrófico"),CONCATENATE("R7C",'Mapa final'!$O$48),"")</f>
        <v/>
      </c>
      <c r="AN12" s="82"/>
      <c r="AO12" s="411"/>
      <c r="AP12" s="412"/>
      <c r="AQ12" s="412"/>
      <c r="AR12" s="412"/>
      <c r="AS12" s="412"/>
      <c r="AT12" s="413"/>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3">
      <c r="A13" s="82"/>
      <c r="B13" s="350"/>
      <c r="C13" s="350"/>
      <c r="D13" s="351"/>
      <c r="E13" s="391"/>
      <c r="F13" s="392"/>
      <c r="G13" s="392"/>
      <c r="H13" s="392"/>
      <c r="I13" s="393"/>
      <c r="J13" s="51" t="str">
        <f>IF(AND('Mapa final'!$Y$49="Muy Alta",'Mapa final'!$AA$49="Leve"),CONCATENATE("R8C",'Mapa final'!$O$49),"")</f>
        <v/>
      </c>
      <c r="K13" s="52" t="str">
        <f>IF(AND('Mapa final'!$Y$50="Muy Alta",'Mapa final'!$AA$50="Leve"),CONCATENATE("R8C",'Mapa final'!$O$50),"")</f>
        <v/>
      </c>
      <c r="L13" s="52" t="str">
        <f>IF(AND('Mapa final'!$Y$51="Muy Alta",'Mapa final'!$AA$51="Leve"),CONCATENATE("R8C",'Mapa final'!$O$51),"")</f>
        <v/>
      </c>
      <c r="M13" s="52" t="str">
        <f>IF(AND('Mapa final'!$Y$52="Muy Alta",'Mapa final'!$AA$52="Leve"),CONCATENATE("R8C",'Mapa final'!$O$52),"")</f>
        <v/>
      </c>
      <c r="N13" s="52" t="str">
        <f>IF(AND('Mapa final'!$Y$53="Muy Alta",'Mapa final'!$AA$53="Leve"),CONCATENATE("R8C",'Mapa final'!$O$53),"")</f>
        <v/>
      </c>
      <c r="O13" s="53" t="str">
        <f>IF(AND('Mapa final'!$Y$54="Muy Alta",'Mapa final'!$AA$54="Leve"),CONCATENATE("R8C",'Mapa final'!$O$54),"")</f>
        <v/>
      </c>
      <c r="P13" s="51" t="str">
        <f>IF(AND('Mapa final'!$Y$49="Muy Alta",'Mapa final'!$AA$49="Menor"),CONCATENATE("R8C",'Mapa final'!$O$49),"")</f>
        <v/>
      </c>
      <c r="Q13" s="52" t="str">
        <f>IF(AND('Mapa final'!$Y$50="Muy Alta",'Mapa final'!$AA$50="Menor"),CONCATENATE("R8C",'Mapa final'!$O$50),"")</f>
        <v/>
      </c>
      <c r="R13" s="52" t="str">
        <f>IF(AND('Mapa final'!$Y$51="Muy Alta",'Mapa final'!$AA$51="Menor"),CONCATENATE("R8C",'Mapa final'!$O$51),"")</f>
        <v/>
      </c>
      <c r="S13" s="52" t="str">
        <f>IF(AND('Mapa final'!$Y$52="Muy Alta",'Mapa final'!$AA$52="Menor"),CONCATENATE("R8C",'Mapa final'!$O$52),"")</f>
        <v/>
      </c>
      <c r="T13" s="52" t="str">
        <f>IF(AND('Mapa final'!$Y$53="Muy Alta",'Mapa final'!$AA$53="Menor"),CONCATENATE("R8C",'Mapa final'!$O$53),"")</f>
        <v/>
      </c>
      <c r="U13" s="53" t="str">
        <f>IF(AND('Mapa final'!$Y$54="Muy Alta",'Mapa final'!$AA$54="Menor"),CONCATENATE("R8C",'Mapa final'!$O$54),"")</f>
        <v/>
      </c>
      <c r="V13" s="51" t="str">
        <f>IF(AND('Mapa final'!$Y$49="Muy Alta",'Mapa final'!$AA$49="Moderado"),CONCATENATE("R8C",'Mapa final'!$O$49),"")</f>
        <v/>
      </c>
      <c r="W13" s="52" t="str">
        <f>IF(AND('Mapa final'!$Y$50="Muy Alta",'Mapa final'!$AA$50="Moderado"),CONCATENATE("R8C",'Mapa final'!$O$50),"")</f>
        <v/>
      </c>
      <c r="X13" s="52" t="str">
        <f>IF(AND('Mapa final'!$Y$51="Muy Alta",'Mapa final'!$AA$51="Moderado"),CONCATENATE("R8C",'Mapa final'!$O$51),"")</f>
        <v/>
      </c>
      <c r="Y13" s="52" t="str">
        <f>IF(AND('Mapa final'!$Y$52="Muy Alta",'Mapa final'!$AA$52="Moderado"),CONCATENATE("R8C",'Mapa final'!$O$52),"")</f>
        <v/>
      </c>
      <c r="Z13" s="52" t="str">
        <f>IF(AND('Mapa final'!$Y$53="Muy Alta",'Mapa final'!$AA$53="Moderado"),CONCATENATE("R8C",'Mapa final'!$O$53),"")</f>
        <v/>
      </c>
      <c r="AA13" s="53" t="str">
        <f>IF(AND('Mapa final'!$Y$54="Muy Alta",'Mapa final'!$AA$54="Moderado"),CONCATENATE("R8C",'Mapa final'!$O$54),"")</f>
        <v/>
      </c>
      <c r="AB13" s="51" t="str">
        <f>IF(AND('Mapa final'!$Y$49="Muy Alta",'Mapa final'!$AA$49="Mayor"),CONCATENATE("R8C",'Mapa final'!$O$49),"")</f>
        <v/>
      </c>
      <c r="AC13" s="52" t="str">
        <f>IF(AND('Mapa final'!$Y$50="Muy Alta",'Mapa final'!$AA$50="Mayor"),CONCATENATE("R8C",'Mapa final'!$O$50),"")</f>
        <v/>
      </c>
      <c r="AD13" s="52" t="str">
        <f>IF(AND('Mapa final'!$Y$51="Muy Alta",'Mapa final'!$AA$51="Mayor"),CONCATENATE("R8C",'Mapa final'!$O$51),"")</f>
        <v/>
      </c>
      <c r="AE13" s="52" t="str">
        <f>IF(AND('Mapa final'!$Y$52="Muy Alta",'Mapa final'!$AA$52="Mayor"),CONCATENATE("R8C",'Mapa final'!$O$52),"")</f>
        <v/>
      </c>
      <c r="AF13" s="52" t="str">
        <f>IF(AND('Mapa final'!$Y$53="Muy Alta",'Mapa final'!$AA$53="Mayor"),CONCATENATE("R8C",'Mapa final'!$O$53),"")</f>
        <v/>
      </c>
      <c r="AG13" s="53" t="str">
        <f>IF(AND('Mapa final'!$Y$54="Muy Alta",'Mapa final'!$AA$54="Mayor"),CONCATENATE("R8C",'Mapa final'!$O$54),"")</f>
        <v/>
      </c>
      <c r="AH13" s="54" t="str">
        <f>IF(AND('Mapa final'!$Y$49="Muy Alta",'Mapa final'!$AA$49="Catastrófico"),CONCATENATE("R8C",'Mapa final'!$O$49),"")</f>
        <v/>
      </c>
      <c r="AI13" s="55" t="str">
        <f>IF(AND('Mapa final'!$Y$50="Muy Alta",'Mapa final'!$AA$50="Catastrófico"),CONCATENATE("R8C",'Mapa final'!$O$50),"")</f>
        <v/>
      </c>
      <c r="AJ13" s="55" t="str">
        <f>IF(AND('Mapa final'!$Y$51="Muy Alta",'Mapa final'!$AA$51="Catastrófico"),CONCATENATE("R8C",'Mapa final'!$O$51),"")</f>
        <v/>
      </c>
      <c r="AK13" s="55" t="str">
        <f>IF(AND('Mapa final'!$Y$52="Muy Alta",'Mapa final'!$AA$52="Catastrófico"),CONCATENATE("R8C",'Mapa final'!$O$52),"")</f>
        <v/>
      </c>
      <c r="AL13" s="55" t="str">
        <f>IF(AND('Mapa final'!$Y$53="Muy Alta",'Mapa final'!$AA$53="Catastrófico"),CONCATENATE("R8C",'Mapa final'!$O$53),"")</f>
        <v/>
      </c>
      <c r="AM13" s="56" t="str">
        <f>IF(AND('Mapa final'!$Y$54="Muy Alta",'Mapa final'!$AA$54="Catastrófico"),CONCATENATE("R8C",'Mapa final'!$O$54),"")</f>
        <v/>
      </c>
      <c r="AN13" s="82"/>
      <c r="AO13" s="411"/>
      <c r="AP13" s="412"/>
      <c r="AQ13" s="412"/>
      <c r="AR13" s="412"/>
      <c r="AS13" s="412"/>
      <c r="AT13" s="413"/>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3">
      <c r="A14" s="82"/>
      <c r="B14" s="350"/>
      <c r="C14" s="350"/>
      <c r="D14" s="351"/>
      <c r="E14" s="391"/>
      <c r="F14" s="392"/>
      <c r="G14" s="392"/>
      <c r="H14" s="392"/>
      <c r="I14" s="393"/>
      <c r="J14" s="51" t="str">
        <f>IF(AND('Mapa final'!$Y$55="Muy Alta",'Mapa final'!$AA$55="Leve"),CONCATENATE("R9C",'Mapa final'!$O$55),"")</f>
        <v/>
      </c>
      <c r="K14" s="52" t="str">
        <f>IF(AND('Mapa final'!$Y$56="Muy Alta",'Mapa final'!$AA$56="Leve"),CONCATENATE("R9C",'Mapa final'!$O$56),"")</f>
        <v/>
      </c>
      <c r="L14" s="52" t="str">
        <f>IF(AND('Mapa final'!$Y$57="Muy Alta",'Mapa final'!$AA$57="Leve"),CONCATENATE("R9C",'Mapa final'!$O$57),"")</f>
        <v/>
      </c>
      <c r="M14" s="52" t="str">
        <f>IF(AND('Mapa final'!$Y$58="Muy Alta",'Mapa final'!$AA$58="Leve"),CONCATENATE("R9C",'Mapa final'!$O$58),"")</f>
        <v/>
      </c>
      <c r="N14" s="52" t="str">
        <f>IF(AND('Mapa final'!$Y$59="Muy Alta",'Mapa final'!$AA$59="Leve"),CONCATENATE("R9C",'Mapa final'!$O$59),"")</f>
        <v/>
      </c>
      <c r="O14" s="53" t="str">
        <f>IF(AND('Mapa final'!$Y$60="Muy Alta",'Mapa final'!$AA$60="Leve"),CONCATENATE("R9C",'Mapa final'!$O$60),"")</f>
        <v/>
      </c>
      <c r="P14" s="51" t="str">
        <f>IF(AND('Mapa final'!$Y$55="Muy Alta",'Mapa final'!$AA$55="Menor"),CONCATENATE("R9C",'Mapa final'!$O$55),"")</f>
        <v/>
      </c>
      <c r="Q14" s="52" t="str">
        <f>IF(AND('Mapa final'!$Y$56="Muy Alta",'Mapa final'!$AA$56="Menor"),CONCATENATE("R9C",'Mapa final'!$O$56),"")</f>
        <v/>
      </c>
      <c r="R14" s="52" t="str">
        <f>IF(AND('Mapa final'!$Y$57="Muy Alta",'Mapa final'!$AA$57="Menor"),CONCATENATE("R9C",'Mapa final'!$O$57),"")</f>
        <v/>
      </c>
      <c r="S14" s="52" t="str">
        <f>IF(AND('Mapa final'!$Y$58="Muy Alta",'Mapa final'!$AA$58="Menor"),CONCATENATE("R9C",'Mapa final'!$O$58),"")</f>
        <v/>
      </c>
      <c r="T14" s="52" t="str">
        <f>IF(AND('Mapa final'!$Y$59="Muy Alta",'Mapa final'!$AA$59="Menor"),CONCATENATE("R9C",'Mapa final'!$O$59),"")</f>
        <v/>
      </c>
      <c r="U14" s="53" t="str">
        <f>IF(AND('Mapa final'!$Y$60="Muy Alta",'Mapa final'!$AA$60="Menor"),CONCATENATE("R9C",'Mapa final'!$O$60),"")</f>
        <v/>
      </c>
      <c r="V14" s="51" t="str">
        <f>IF(AND('Mapa final'!$Y$55="Muy Alta",'Mapa final'!$AA$55="Moderado"),CONCATENATE("R9C",'Mapa final'!$O$55),"")</f>
        <v/>
      </c>
      <c r="W14" s="52" t="str">
        <f>IF(AND('Mapa final'!$Y$56="Muy Alta",'Mapa final'!$AA$56="Moderado"),CONCATENATE("R9C",'Mapa final'!$O$56),"")</f>
        <v/>
      </c>
      <c r="X14" s="52" t="str">
        <f>IF(AND('Mapa final'!$Y$57="Muy Alta",'Mapa final'!$AA$57="Moderado"),CONCATENATE("R9C",'Mapa final'!$O$57),"")</f>
        <v/>
      </c>
      <c r="Y14" s="52" t="str">
        <f>IF(AND('Mapa final'!$Y$58="Muy Alta",'Mapa final'!$AA$58="Moderado"),CONCATENATE("R9C",'Mapa final'!$O$58),"")</f>
        <v/>
      </c>
      <c r="Z14" s="52" t="str">
        <f>IF(AND('Mapa final'!$Y$59="Muy Alta",'Mapa final'!$AA$59="Moderado"),CONCATENATE("R9C",'Mapa final'!$O$59),"")</f>
        <v/>
      </c>
      <c r="AA14" s="53" t="str">
        <f>IF(AND('Mapa final'!$Y$60="Muy Alta",'Mapa final'!$AA$60="Moderado"),CONCATENATE("R9C",'Mapa final'!$O$60),"")</f>
        <v/>
      </c>
      <c r="AB14" s="51" t="str">
        <f>IF(AND('Mapa final'!$Y$55="Muy Alta",'Mapa final'!$AA$55="Mayor"),CONCATENATE("R9C",'Mapa final'!$O$55),"")</f>
        <v/>
      </c>
      <c r="AC14" s="52" t="str">
        <f>IF(AND('Mapa final'!$Y$56="Muy Alta",'Mapa final'!$AA$56="Mayor"),CONCATENATE("R9C",'Mapa final'!$O$56),"")</f>
        <v/>
      </c>
      <c r="AD14" s="52" t="str">
        <f>IF(AND('Mapa final'!$Y$57="Muy Alta",'Mapa final'!$AA$57="Mayor"),CONCATENATE("R9C",'Mapa final'!$O$57),"")</f>
        <v/>
      </c>
      <c r="AE14" s="52" t="str">
        <f>IF(AND('Mapa final'!$Y$58="Muy Alta",'Mapa final'!$AA$58="Mayor"),CONCATENATE("R9C",'Mapa final'!$O$58),"")</f>
        <v/>
      </c>
      <c r="AF14" s="52" t="str">
        <f>IF(AND('Mapa final'!$Y$59="Muy Alta",'Mapa final'!$AA$59="Mayor"),CONCATENATE("R9C",'Mapa final'!$O$59),"")</f>
        <v/>
      </c>
      <c r="AG14" s="53" t="str">
        <f>IF(AND('Mapa final'!$Y$60="Muy Alta",'Mapa final'!$AA$60="Mayor"),CONCATENATE("R9C",'Mapa final'!$O$60),"")</f>
        <v/>
      </c>
      <c r="AH14" s="54" t="str">
        <f>IF(AND('Mapa final'!$Y$55="Muy Alta",'Mapa final'!$AA$55="Catastrófico"),CONCATENATE("R9C",'Mapa final'!$O$55),"")</f>
        <v/>
      </c>
      <c r="AI14" s="55" t="str">
        <f>IF(AND('Mapa final'!$Y$56="Muy Alta",'Mapa final'!$AA$56="Catastrófico"),CONCATENATE("R9C",'Mapa final'!$O$56),"")</f>
        <v/>
      </c>
      <c r="AJ14" s="55" t="str">
        <f>IF(AND('Mapa final'!$Y$57="Muy Alta",'Mapa final'!$AA$57="Catastrófico"),CONCATENATE("R9C",'Mapa final'!$O$57),"")</f>
        <v/>
      </c>
      <c r="AK14" s="55" t="str">
        <f>IF(AND('Mapa final'!$Y$58="Muy Alta",'Mapa final'!$AA$58="Catastrófico"),CONCATENATE("R9C",'Mapa final'!$O$58),"")</f>
        <v/>
      </c>
      <c r="AL14" s="55" t="str">
        <f>IF(AND('Mapa final'!$Y$59="Muy Alta",'Mapa final'!$AA$59="Catastrófico"),CONCATENATE("R9C",'Mapa final'!$O$59),"")</f>
        <v/>
      </c>
      <c r="AM14" s="56" t="str">
        <f>IF(AND('Mapa final'!$Y$60="Muy Alta",'Mapa final'!$AA$60="Catastrófico"),CONCATENATE("R9C",'Mapa final'!$O$60),"")</f>
        <v/>
      </c>
      <c r="AN14" s="82"/>
      <c r="AO14" s="411"/>
      <c r="AP14" s="412"/>
      <c r="AQ14" s="412"/>
      <c r="AR14" s="412"/>
      <c r="AS14" s="412"/>
      <c r="AT14" s="413"/>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5">
      <c r="A15" s="82"/>
      <c r="B15" s="350"/>
      <c r="C15" s="350"/>
      <c r="D15" s="351"/>
      <c r="E15" s="394"/>
      <c r="F15" s="395"/>
      <c r="G15" s="395"/>
      <c r="H15" s="395"/>
      <c r="I15" s="396"/>
      <c r="J15" s="57" t="str">
        <f>IF(AND('Mapa final'!$Y$61="Muy Alta",'Mapa final'!$AA$61="Leve"),CONCATENATE("R10C",'Mapa final'!$O$61),"")</f>
        <v/>
      </c>
      <c r="K15" s="58" t="str">
        <f>IF(AND('Mapa final'!$Y$62="Muy Alta",'Mapa final'!$AA$62="Leve"),CONCATENATE("R10C",'Mapa final'!$O$62),"")</f>
        <v/>
      </c>
      <c r="L15" s="58" t="str">
        <f>IF(AND('Mapa final'!$Y$63="Muy Alta",'Mapa final'!$AA$63="Leve"),CONCATENATE("R10C",'Mapa final'!$O$63),"")</f>
        <v/>
      </c>
      <c r="M15" s="58" t="str">
        <f>IF(AND('Mapa final'!$Y$64="Muy Alta",'Mapa final'!$AA$64="Leve"),CONCATENATE("R10C",'Mapa final'!$O$64),"")</f>
        <v/>
      </c>
      <c r="N15" s="58" t="str">
        <f>IF(AND('Mapa final'!$Y$65="Muy Alta",'Mapa final'!$AA$65="Leve"),CONCATENATE("R10C",'Mapa final'!$O$65),"")</f>
        <v/>
      </c>
      <c r="O15" s="59" t="str">
        <f>IF(AND('Mapa final'!$Y$66="Muy Alta",'Mapa final'!$AA$66="Leve"),CONCATENATE("R10C",'Mapa final'!$O$66),"")</f>
        <v/>
      </c>
      <c r="P15" s="51" t="str">
        <f>IF(AND('Mapa final'!$Y$61="Muy Alta",'Mapa final'!$AA$61="Menor"),CONCATENATE("R10C",'Mapa final'!$O$61),"")</f>
        <v/>
      </c>
      <c r="Q15" s="52" t="str">
        <f>IF(AND('Mapa final'!$Y$62="Muy Alta",'Mapa final'!$AA$62="Menor"),CONCATENATE("R10C",'Mapa final'!$O$62),"")</f>
        <v/>
      </c>
      <c r="R15" s="52" t="str">
        <f>IF(AND('Mapa final'!$Y$63="Muy Alta",'Mapa final'!$AA$63="Menor"),CONCATENATE("R10C",'Mapa final'!$O$63),"")</f>
        <v/>
      </c>
      <c r="S15" s="52" t="str">
        <f>IF(AND('Mapa final'!$Y$64="Muy Alta",'Mapa final'!$AA$64="Menor"),CONCATENATE("R10C",'Mapa final'!$O$64),"")</f>
        <v/>
      </c>
      <c r="T15" s="52" t="str">
        <f>IF(AND('Mapa final'!$Y$65="Muy Alta",'Mapa final'!$AA$65="Menor"),CONCATENATE("R10C",'Mapa final'!$O$65),"")</f>
        <v/>
      </c>
      <c r="U15" s="53" t="str">
        <f>IF(AND('Mapa final'!$Y$66="Muy Alta",'Mapa final'!$AA$66="Menor"),CONCATENATE("R10C",'Mapa final'!$O$66),"")</f>
        <v/>
      </c>
      <c r="V15" s="57" t="str">
        <f>IF(AND('Mapa final'!$Y$61="Muy Alta",'Mapa final'!$AA$61="Moderado"),CONCATENATE("R10C",'Mapa final'!$O$61),"")</f>
        <v/>
      </c>
      <c r="W15" s="58" t="str">
        <f>IF(AND('Mapa final'!$Y$62="Muy Alta",'Mapa final'!$AA$62="Moderado"),CONCATENATE("R10C",'Mapa final'!$O$62),"")</f>
        <v/>
      </c>
      <c r="X15" s="58" t="str">
        <f>IF(AND('Mapa final'!$Y$63="Muy Alta",'Mapa final'!$AA$63="Moderado"),CONCATENATE("R10C",'Mapa final'!$O$63),"")</f>
        <v/>
      </c>
      <c r="Y15" s="58" t="str">
        <f>IF(AND('Mapa final'!$Y$64="Muy Alta",'Mapa final'!$AA$64="Moderado"),CONCATENATE("R10C",'Mapa final'!$O$64),"")</f>
        <v/>
      </c>
      <c r="Z15" s="58" t="str">
        <f>IF(AND('Mapa final'!$Y$65="Muy Alta",'Mapa final'!$AA$65="Moderado"),CONCATENATE("R10C",'Mapa final'!$O$65),"")</f>
        <v/>
      </c>
      <c r="AA15" s="59" t="str">
        <f>IF(AND('Mapa final'!$Y$66="Muy Alta",'Mapa final'!$AA$66="Moderado"),CONCATENATE("R10C",'Mapa final'!$O$66),"")</f>
        <v/>
      </c>
      <c r="AB15" s="51" t="str">
        <f>IF(AND('Mapa final'!$Y$61="Muy Alta",'Mapa final'!$AA$61="Mayor"),CONCATENATE("R10C",'Mapa final'!$O$61),"")</f>
        <v/>
      </c>
      <c r="AC15" s="52" t="str">
        <f>IF(AND('Mapa final'!$Y$62="Muy Alta",'Mapa final'!$AA$62="Mayor"),CONCATENATE("R10C",'Mapa final'!$O$62),"")</f>
        <v/>
      </c>
      <c r="AD15" s="52" t="str">
        <f>IF(AND('Mapa final'!$Y$63="Muy Alta",'Mapa final'!$AA$63="Mayor"),CONCATENATE("R10C",'Mapa final'!$O$63),"")</f>
        <v/>
      </c>
      <c r="AE15" s="52" t="str">
        <f>IF(AND('Mapa final'!$Y$64="Muy Alta",'Mapa final'!$AA$64="Mayor"),CONCATENATE("R10C",'Mapa final'!$O$64),"")</f>
        <v/>
      </c>
      <c r="AF15" s="52" t="str">
        <f>IF(AND('Mapa final'!$Y$65="Muy Alta",'Mapa final'!$AA$65="Mayor"),CONCATENATE("R10C",'Mapa final'!$O$65),"")</f>
        <v/>
      </c>
      <c r="AG15" s="53" t="str">
        <f>IF(AND('Mapa final'!$Y$66="Muy Alta",'Mapa final'!$AA$66="Mayor"),CONCATENATE("R10C",'Mapa final'!$O$66),"")</f>
        <v/>
      </c>
      <c r="AH15" s="60" t="str">
        <f>IF(AND('Mapa final'!$Y$61="Muy Alta",'Mapa final'!$AA$61="Catastrófico"),CONCATENATE("R10C",'Mapa final'!$O$61),"")</f>
        <v/>
      </c>
      <c r="AI15" s="61" t="str">
        <f>IF(AND('Mapa final'!$Y$62="Muy Alta",'Mapa final'!$AA$62="Catastrófico"),CONCATENATE("R10C",'Mapa final'!$O$62),"")</f>
        <v/>
      </c>
      <c r="AJ15" s="61" t="str">
        <f>IF(AND('Mapa final'!$Y$63="Muy Alta",'Mapa final'!$AA$63="Catastrófico"),CONCATENATE("R10C",'Mapa final'!$O$63),"")</f>
        <v/>
      </c>
      <c r="AK15" s="61" t="str">
        <f>IF(AND('Mapa final'!$Y$64="Muy Alta",'Mapa final'!$AA$64="Catastrófico"),CONCATENATE("R10C",'Mapa final'!$O$64),"")</f>
        <v/>
      </c>
      <c r="AL15" s="61" t="str">
        <f>IF(AND('Mapa final'!$Y$65="Muy Alta",'Mapa final'!$AA$65="Catastrófico"),CONCATENATE("R10C",'Mapa final'!$O$65),"")</f>
        <v/>
      </c>
      <c r="AM15" s="62" t="str">
        <f>IF(AND('Mapa final'!$Y$66="Muy Alta",'Mapa final'!$AA$66="Catastrófico"),CONCATENATE("R10C",'Mapa final'!$O$66),"")</f>
        <v/>
      </c>
      <c r="AN15" s="82"/>
      <c r="AO15" s="414"/>
      <c r="AP15" s="415"/>
      <c r="AQ15" s="415"/>
      <c r="AR15" s="415"/>
      <c r="AS15" s="415"/>
      <c r="AT15" s="416"/>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3">
      <c r="A16" s="82"/>
      <c r="B16" s="350"/>
      <c r="C16" s="350"/>
      <c r="D16" s="351"/>
      <c r="E16" s="388" t="s">
        <v>114</v>
      </c>
      <c r="F16" s="389"/>
      <c r="G16" s="389"/>
      <c r="H16" s="389"/>
      <c r="I16" s="389"/>
      <c r="J16" s="63" t="str">
        <f>IF(AND('Mapa final'!$Y$10="Alta",'Mapa final'!$AA$10="Leve"),CONCATENATE("R1C",'Mapa final'!$O$10),"")</f>
        <v/>
      </c>
      <c r="K16" s="64" t="str">
        <f>IF(AND('Mapa final'!$Y$11="Alta",'Mapa final'!$AA$11="Leve"),CONCATENATE("R1C",'Mapa final'!$O$11),"")</f>
        <v/>
      </c>
      <c r="L16" s="64" t="str">
        <f>IF(AND('Mapa final'!$Y$12="Alta",'Mapa final'!$AA$12="Leve"),CONCATENATE("R1C",'Mapa final'!$O$12),"")</f>
        <v/>
      </c>
      <c r="M16" s="64" t="str">
        <f>IF(AND('Mapa final'!$Y$13="Alta",'Mapa final'!$AA$13="Leve"),CONCATENATE("R1C",'Mapa final'!$O$13),"")</f>
        <v/>
      </c>
      <c r="N16" s="64" t="str">
        <f>IF(AND('Mapa final'!$Y$14="Alta",'Mapa final'!$AA$14="Leve"),CONCATENATE("R1C",'Mapa final'!$O$14),"")</f>
        <v/>
      </c>
      <c r="O16" s="65" t="str">
        <f>IF(AND('Mapa final'!$Y$15="Alta",'Mapa final'!$AA$15="Leve"),CONCATENATE("R1C",'Mapa final'!$O$15),"")</f>
        <v/>
      </c>
      <c r="P16" s="63" t="str">
        <f>IF(AND('Mapa final'!$Y$10="Alta",'Mapa final'!$AA$10="Menor"),CONCATENATE("R1C",'Mapa final'!$O$10),"")</f>
        <v/>
      </c>
      <c r="Q16" s="64" t="str">
        <f>IF(AND('Mapa final'!$Y$11="Alta",'Mapa final'!$AA$11="Menor"),CONCATENATE("R1C",'Mapa final'!$O$11),"")</f>
        <v/>
      </c>
      <c r="R16" s="64" t="str">
        <f>IF(AND('Mapa final'!$Y$12="Alta",'Mapa final'!$AA$12="Menor"),CONCATENATE("R1C",'Mapa final'!$O$12),"")</f>
        <v/>
      </c>
      <c r="S16" s="64" t="str">
        <f>IF(AND('Mapa final'!$Y$13="Alta",'Mapa final'!$AA$13="Menor"),CONCATENATE("R1C",'Mapa final'!$O$13),"")</f>
        <v/>
      </c>
      <c r="T16" s="64" t="str">
        <f>IF(AND('Mapa final'!$Y$14="Alta",'Mapa final'!$AA$14="Menor"),CONCATENATE("R1C",'Mapa final'!$O$14),"")</f>
        <v/>
      </c>
      <c r="U16" s="65" t="str">
        <f>IF(AND('Mapa final'!$Y$15="Alta",'Mapa final'!$AA$15="Menor"),CONCATENATE("R1C",'Mapa final'!$O$15),"")</f>
        <v/>
      </c>
      <c r="V16" s="45" t="str">
        <f>IF(AND('Mapa final'!$Y$10="Alta",'Mapa final'!$AA$10="Moderado"),CONCATENATE("R1C",'Mapa final'!$O$10),"")</f>
        <v/>
      </c>
      <c r="W16" s="46" t="str">
        <f>IF(AND('Mapa final'!$Y$11="Alta",'Mapa final'!$AA$11="Moderado"),CONCATENATE("R1C",'Mapa final'!$O$11),"")</f>
        <v/>
      </c>
      <c r="X16" s="46" t="str">
        <f>IF(AND('Mapa final'!$Y$12="Alta",'Mapa final'!$AA$12="Moderado"),CONCATENATE("R1C",'Mapa final'!$O$12),"")</f>
        <v/>
      </c>
      <c r="Y16" s="46" t="str">
        <f>IF(AND('Mapa final'!$Y$13="Alta",'Mapa final'!$AA$13="Moderado"),CONCATENATE("R1C",'Mapa final'!$O$13),"")</f>
        <v/>
      </c>
      <c r="Z16" s="46" t="str">
        <f>IF(AND('Mapa final'!$Y$14="Alta",'Mapa final'!$AA$14="Moderado"),CONCATENATE("R1C",'Mapa final'!$O$14),"")</f>
        <v/>
      </c>
      <c r="AA16" s="47" t="str">
        <f>IF(AND('Mapa final'!$Y$15="Alta",'Mapa final'!$AA$15="Moderado"),CONCATENATE("R1C",'Mapa final'!$O$15),"")</f>
        <v/>
      </c>
      <c r="AB16" s="45" t="str">
        <f>IF(AND('Mapa final'!$Y$10="Alta",'Mapa final'!$AA$10="Mayor"),CONCATENATE("R1C",'Mapa final'!$O$10),"")</f>
        <v/>
      </c>
      <c r="AC16" s="46" t="str">
        <f>IF(AND('Mapa final'!$Y$11="Alta",'Mapa final'!$AA$11="Mayor"),CONCATENATE("R1C",'Mapa final'!$O$11),"")</f>
        <v/>
      </c>
      <c r="AD16" s="46" t="str">
        <f>IF(AND('Mapa final'!$Y$12="Alta",'Mapa final'!$AA$12="Mayor"),CONCATENATE("R1C",'Mapa final'!$O$12),"")</f>
        <v/>
      </c>
      <c r="AE16" s="46" t="str">
        <f>IF(AND('Mapa final'!$Y$13="Alta",'Mapa final'!$AA$13="Mayor"),CONCATENATE("R1C",'Mapa final'!$O$13),"")</f>
        <v/>
      </c>
      <c r="AF16" s="46" t="str">
        <f>IF(AND('Mapa final'!$Y$14="Alta",'Mapa final'!$AA$14="Mayor"),CONCATENATE("R1C",'Mapa final'!$O$14),"")</f>
        <v/>
      </c>
      <c r="AG16" s="47" t="str">
        <f>IF(AND('Mapa final'!$Y$15="Alta",'Mapa final'!$AA$15="Mayor"),CONCATENATE("R1C",'Mapa final'!$O$15),"")</f>
        <v/>
      </c>
      <c r="AH16" s="48" t="str">
        <f>IF(AND('Mapa final'!$Y$10="Alta",'Mapa final'!$AA$10="Catastrófico"),CONCATENATE("R1C",'Mapa final'!$O$10),"")</f>
        <v/>
      </c>
      <c r="AI16" s="49" t="str">
        <f>IF(AND('Mapa final'!$Y$11="Alta",'Mapa final'!$AA$11="Catastrófico"),CONCATENATE("R1C",'Mapa final'!$O$11),"")</f>
        <v/>
      </c>
      <c r="AJ16" s="49" t="str">
        <f>IF(AND('Mapa final'!$Y$12="Alta",'Mapa final'!$AA$12="Catastrófico"),CONCATENATE("R1C",'Mapa final'!$O$12),"")</f>
        <v/>
      </c>
      <c r="AK16" s="49" t="str">
        <f>IF(AND('Mapa final'!$Y$13="Alta",'Mapa final'!$AA$13="Catastrófico"),CONCATENATE("R1C",'Mapa final'!$O$13),"")</f>
        <v/>
      </c>
      <c r="AL16" s="49" t="str">
        <f>IF(AND('Mapa final'!$Y$14="Alta",'Mapa final'!$AA$14="Catastrófico"),CONCATENATE("R1C",'Mapa final'!$O$14),"")</f>
        <v/>
      </c>
      <c r="AM16" s="50" t="str">
        <f>IF(AND('Mapa final'!$Y$15="Alta",'Mapa final'!$AA$15="Catastrófico"),CONCATENATE("R1C",'Mapa final'!$O$15),"")</f>
        <v/>
      </c>
      <c r="AN16" s="82"/>
      <c r="AO16" s="398" t="s">
        <v>79</v>
      </c>
      <c r="AP16" s="399"/>
      <c r="AQ16" s="399"/>
      <c r="AR16" s="399"/>
      <c r="AS16" s="399"/>
      <c r="AT16" s="400"/>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3">
      <c r="A17" s="82"/>
      <c r="B17" s="350"/>
      <c r="C17" s="350"/>
      <c r="D17" s="351"/>
      <c r="E17" s="407"/>
      <c r="F17" s="392"/>
      <c r="G17" s="392"/>
      <c r="H17" s="392"/>
      <c r="I17" s="392"/>
      <c r="J17" s="66" t="str">
        <f>IF(AND('Mapa final'!$Y$16="Alta",'Mapa final'!$AA$16="Leve"),CONCATENATE("R2C",'Mapa final'!$O$16),"")</f>
        <v/>
      </c>
      <c r="K17" s="67" t="str">
        <f>IF(AND('Mapa final'!$Y$17="Alta",'Mapa final'!$AA$17="Leve"),CONCATENATE("R2C",'Mapa final'!$O$17),"")</f>
        <v/>
      </c>
      <c r="L17" s="67" t="str">
        <f>IF(AND('Mapa final'!$Y$18="Alta",'Mapa final'!$AA$18="Leve"),CONCATENATE("R2C",'Mapa final'!$O$18),"")</f>
        <v/>
      </c>
      <c r="M17" s="67" t="str">
        <f>IF(AND('Mapa final'!$Y$19="Alta",'Mapa final'!$AA$19="Leve"),CONCATENATE("R2C",'Mapa final'!$O$19),"")</f>
        <v/>
      </c>
      <c r="N17" s="67" t="str">
        <f>IF(AND('Mapa final'!$Y$20="Alta",'Mapa final'!$AA$20="Leve"),CONCATENATE("R2C",'Mapa final'!$O$20),"")</f>
        <v/>
      </c>
      <c r="O17" s="68" t="str">
        <f>IF(AND('Mapa final'!$Y$21="Alta",'Mapa final'!$AA$21="Leve"),CONCATENATE("R2C",'Mapa final'!$O$21),"")</f>
        <v/>
      </c>
      <c r="P17" s="66" t="str">
        <f>IF(AND('Mapa final'!$Y$16="Alta",'Mapa final'!$AA$16="Menor"),CONCATENATE("R2C",'Mapa final'!$O$16),"")</f>
        <v/>
      </c>
      <c r="Q17" s="67" t="str">
        <f>IF(AND('Mapa final'!$Y$17="Alta",'Mapa final'!$AA$17="Menor"),CONCATENATE("R2C",'Mapa final'!$O$17),"")</f>
        <v/>
      </c>
      <c r="R17" s="67" t="str">
        <f>IF(AND('Mapa final'!$Y$18="Alta",'Mapa final'!$AA$18="Menor"),CONCATENATE("R2C",'Mapa final'!$O$18),"")</f>
        <v/>
      </c>
      <c r="S17" s="67" t="str">
        <f>IF(AND('Mapa final'!$Y$19="Alta",'Mapa final'!$AA$19="Menor"),CONCATENATE("R2C",'Mapa final'!$O$19),"")</f>
        <v/>
      </c>
      <c r="T17" s="67" t="str">
        <f>IF(AND('Mapa final'!$Y$20="Alta",'Mapa final'!$AA$20="Menor"),CONCATENATE("R2C",'Mapa final'!$O$20),"")</f>
        <v/>
      </c>
      <c r="U17" s="68" t="str">
        <f>IF(AND('Mapa final'!$Y$21="Alta",'Mapa final'!$AA$21="Menor"),CONCATENATE("R2C",'Mapa final'!$O$21),"")</f>
        <v/>
      </c>
      <c r="V17" s="51" t="str">
        <f>IF(AND('Mapa final'!$Y$16="Alta",'Mapa final'!$AA$16="Moderado"),CONCATENATE("R2C",'Mapa final'!$O$16),"")</f>
        <v/>
      </c>
      <c r="W17" s="52" t="str">
        <f>IF(AND('Mapa final'!$Y$17="Alta",'Mapa final'!$AA$17="Moderado"),CONCATENATE("R2C",'Mapa final'!$O$17),"")</f>
        <v/>
      </c>
      <c r="X17" s="52" t="str">
        <f>IF(AND('Mapa final'!$Y$18="Alta",'Mapa final'!$AA$18="Moderado"),CONCATENATE("R2C",'Mapa final'!$O$18),"")</f>
        <v/>
      </c>
      <c r="Y17" s="52" t="str">
        <f>IF(AND('Mapa final'!$Y$19="Alta",'Mapa final'!$AA$19="Moderado"),CONCATENATE("R2C",'Mapa final'!$O$19),"")</f>
        <v/>
      </c>
      <c r="Z17" s="52" t="str">
        <f>IF(AND('Mapa final'!$Y$20="Alta",'Mapa final'!$AA$20="Moderado"),CONCATENATE("R2C",'Mapa final'!$O$20),"")</f>
        <v/>
      </c>
      <c r="AA17" s="53" t="str">
        <f>IF(AND('Mapa final'!$Y$21="Alta",'Mapa final'!$AA$21="Moderado"),CONCATENATE("R2C",'Mapa final'!$O$21),"")</f>
        <v/>
      </c>
      <c r="AB17" s="51" t="str">
        <f>IF(AND('Mapa final'!$Y$16="Alta",'Mapa final'!$AA$16="Mayor"),CONCATENATE("R2C",'Mapa final'!$O$16),"")</f>
        <v/>
      </c>
      <c r="AC17" s="52" t="str">
        <f>IF(AND('Mapa final'!$Y$17="Alta",'Mapa final'!$AA$17="Mayor"),CONCATENATE("R2C",'Mapa final'!$O$17),"")</f>
        <v/>
      </c>
      <c r="AD17" s="52" t="str">
        <f>IF(AND('Mapa final'!$Y$18="Alta",'Mapa final'!$AA$18="Mayor"),CONCATENATE("R2C",'Mapa final'!$O$18),"")</f>
        <v/>
      </c>
      <c r="AE17" s="52" t="str">
        <f>IF(AND('Mapa final'!$Y$19="Alta",'Mapa final'!$AA$19="Mayor"),CONCATENATE("R2C",'Mapa final'!$O$19),"")</f>
        <v/>
      </c>
      <c r="AF17" s="52" t="str">
        <f>IF(AND('Mapa final'!$Y$20="Alta",'Mapa final'!$AA$20="Mayor"),CONCATENATE("R2C",'Mapa final'!$O$20),"")</f>
        <v/>
      </c>
      <c r="AG17" s="53" t="str">
        <f>IF(AND('Mapa final'!$Y$21="Alta",'Mapa final'!$AA$21="Mayor"),CONCATENATE("R2C",'Mapa final'!$O$21),"")</f>
        <v/>
      </c>
      <c r="AH17" s="54" t="str">
        <f>IF(AND('Mapa final'!$Y$16="Alta",'Mapa final'!$AA$16="Catastrófico"),CONCATENATE("R2C",'Mapa final'!$O$16),"")</f>
        <v/>
      </c>
      <c r="AI17" s="55" t="str">
        <f>IF(AND('Mapa final'!$Y$17="Alta",'Mapa final'!$AA$17="Catastrófico"),CONCATENATE("R2C",'Mapa final'!$O$17),"")</f>
        <v/>
      </c>
      <c r="AJ17" s="55" t="str">
        <f>IF(AND('Mapa final'!$Y$18="Alta",'Mapa final'!$AA$18="Catastrófico"),CONCATENATE("R2C",'Mapa final'!$O$18),"")</f>
        <v/>
      </c>
      <c r="AK17" s="55" t="str">
        <f>IF(AND('Mapa final'!$Y$19="Alta",'Mapa final'!$AA$19="Catastrófico"),CONCATENATE("R2C",'Mapa final'!$O$19),"")</f>
        <v/>
      </c>
      <c r="AL17" s="55" t="str">
        <f>IF(AND('Mapa final'!$Y$20="Alta",'Mapa final'!$AA$20="Catastrófico"),CONCATENATE("R2C",'Mapa final'!$O$20),"")</f>
        <v/>
      </c>
      <c r="AM17" s="56" t="str">
        <f>IF(AND('Mapa final'!$Y$21="Alta",'Mapa final'!$AA$21="Catastrófico"),CONCATENATE("R2C",'Mapa final'!$O$21),"")</f>
        <v/>
      </c>
      <c r="AN17" s="82"/>
      <c r="AO17" s="401"/>
      <c r="AP17" s="402"/>
      <c r="AQ17" s="402"/>
      <c r="AR17" s="402"/>
      <c r="AS17" s="402"/>
      <c r="AT17" s="403"/>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3">
      <c r="A18" s="82"/>
      <c r="B18" s="350"/>
      <c r="C18" s="350"/>
      <c r="D18" s="351"/>
      <c r="E18" s="391"/>
      <c r="F18" s="392"/>
      <c r="G18" s="392"/>
      <c r="H18" s="392"/>
      <c r="I18" s="392"/>
      <c r="J18" s="66" t="str">
        <f>IF(AND('Mapa final'!$Y$22="Alta",'Mapa final'!$AA$22="Leve"),CONCATENATE("R3C",'Mapa final'!$O$22),"")</f>
        <v/>
      </c>
      <c r="K18" s="67" t="str">
        <f>IF(AND('Mapa final'!$Y$23="Alta",'Mapa final'!$AA$23="Leve"),CONCATENATE("R3C",'Mapa final'!$O$23),"")</f>
        <v/>
      </c>
      <c r="L18" s="67" t="str">
        <f>IF(AND('Mapa final'!$Y$24="Alta",'Mapa final'!$AA$24="Leve"),CONCATENATE("R3C",'Mapa final'!$O$24),"")</f>
        <v/>
      </c>
      <c r="M18" s="67" t="str">
        <f>IF(AND('Mapa final'!$Y$25="Alta",'Mapa final'!$AA$25="Leve"),CONCATENATE("R3C",'Mapa final'!$O$25),"")</f>
        <v/>
      </c>
      <c r="N18" s="67" t="str">
        <f>IF(AND('Mapa final'!$Y$26="Alta",'Mapa final'!$AA$26="Leve"),CONCATENATE("R3C",'Mapa final'!$O$26),"")</f>
        <v/>
      </c>
      <c r="O18" s="68" t="str">
        <f>IF(AND('Mapa final'!$Y$27="Alta",'Mapa final'!$AA$27="Leve"),CONCATENATE("R3C",'Mapa final'!$O$27),"")</f>
        <v/>
      </c>
      <c r="P18" s="66" t="str">
        <f>IF(AND('Mapa final'!$Y$22="Alta",'Mapa final'!$AA$22="Menor"),CONCATENATE("R3C",'Mapa final'!$O$22),"")</f>
        <v/>
      </c>
      <c r="Q18" s="67" t="str">
        <f>IF(AND('Mapa final'!$Y$23="Alta",'Mapa final'!$AA$23="Menor"),CONCATENATE("R3C",'Mapa final'!$O$23),"")</f>
        <v/>
      </c>
      <c r="R18" s="67" t="str">
        <f>IF(AND('Mapa final'!$Y$24="Alta",'Mapa final'!$AA$24="Menor"),CONCATENATE("R3C",'Mapa final'!$O$24),"")</f>
        <v/>
      </c>
      <c r="S18" s="67" t="str">
        <f>IF(AND('Mapa final'!$Y$25="Alta",'Mapa final'!$AA$25="Menor"),CONCATENATE("R3C",'Mapa final'!$O$25),"")</f>
        <v/>
      </c>
      <c r="T18" s="67" t="str">
        <f>IF(AND('Mapa final'!$Y$26="Alta",'Mapa final'!$AA$26="Menor"),CONCATENATE("R3C",'Mapa final'!$O$26),"")</f>
        <v/>
      </c>
      <c r="U18" s="68" t="str">
        <f>IF(AND('Mapa final'!$Y$27="Alta",'Mapa final'!$AA$27="Menor"),CONCATENATE("R3C",'Mapa final'!$O$27),"")</f>
        <v/>
      </c>
      <c r="V18" s="51" t="str">
        <f>IF(AND('Mapa final'!$Y$22="Alta",'Mapa final'!$AA$22="Moderado"),CONCATENATE("R3C",'Mapa final'!$O$22),"")</f>
        <v/>
      </c>
      <c r="W18" s="52" t="str">
        <f>IF(AND('Mapa final'!$Y$23="Alta",'Mapa final'!$AA$23="Moderado"),CONCATENATE("R3C",'Mapa final'!$O$23),"")</f>
        <v/>
      </c>
      <c r="X18" s="52" t="str">
        <f>IF(AND('Mapa final'!$Y$24="Alta",'Mapa final'!$AA$24="Moderado"),CONCATENATE("R3C",'Mapa final'!$O$24),"")</f>
        <v/>
      </c>
      <c r="Y18" s="52" t="str">
        <f>IF(AND('Mapa final'!$Y$25="Alta",'Mapa final'!$AA$25="Moderado"),CONCATENATE("R3C",'Mapa final'!$O$25),"")</f>
        <v/>
      </c>
      <c r="Z18" s="52" t="str">
        <f>IF(AND('Mapa final'!$Y$26="Alta",'Mapa final'!$AA$26="Moderado"),CONCATENATE("R3C",'Mapa final'!$O$26),"")</f>
        <v/>
      </c>
      <c r="AA18" s="53" t="str">
        <f>IF(AND('Mapa final'!$Y$27="Alta",'Mapa final'!$AA$27="Moderado"),CONCATENATE("R3C",'Mapa final'!$O$27),"")</f>
        <v/>
      </c>
      <c r="AB18" s="51" t="str">
        <f>IF(AND('Mapa final'!$Y$22="Alta",'Mapa final'!$AA$22="Mayor"),CONCATENATE("R3C",'Mapa final'!$O$22),"")</f>
        <v/>
      </c>
      <c r="AC18" s="52" t="str">
        <f>IF(AND('Mapa final'!$Y$23="Alta",'Mapa final'!$AA$23="Mayor"),CONCATENATE("R3C",'Mapa final'!$O$23),"")</f>
        <v/>
      </c>
      <c r="AD18" s="52" t="str">
        <f>IF(AND('Mapa final'!$Y$24="Alta",'Mapa final'!$AA$24="Mayor"),CONCATENATE("R3C",'Mapa final'!$O$24),"")</f>
        <v/>
      </c>
      <c r="AE18" s="52" t="str">
        <f>IF(AND('Mapa final'!$Y$25="Alta",'Mapa final'!$AA$25="Mayor"),CONCATENATE("R3C",'Mapa final'!$O$25),"")</f>
        <v/>
      </c>
      <c r="AF18" s="52" t="str">
        <f>IF(AND('Mapa final'!$Y$26="Alta",'Mapa final'!$AA$26="Mayor"),CONCATENATE("R3C",'Mapa final'!$O$26),"")</f>
        <v/>
      </c>
      <c r="AG18" s="53" t="str">
        <f>IF(AND('Mapa final'!$Y$27="Alta",'Mapa final'!$AA$27="Mayor"),CONCATENATE("R3C",'Mapa final'!$O$27),"")</f>
        <v/>
      </c>
      <c r="AH18" s="54" t="str">
        <f>IF(AND('Mapa final'!$Y$22="Alta",'Mapa final'!$AA$22="Catastrófico"),CONCATENATE("R3C",'Mapa final'!$O$22),"")</f>
        <v/>
      </c>
      <c r="AI18" s="55" t="str">
        <f>IF(AND('Mapa final'!$Y$23="Alta",'Mapa final'!$AA$23="Catastrófico"),CONCATENATE("R3C",'Mapa final'!$O$23),"")</f>
        <v/>
      </c>
      <c r="AJ18" s="55" t="str">
        <f>IF(AND('Mapa final'!$Y$24="Alta",'Mapa final'!$AA$24="Catastrófico"),CONCATENATE("R3C",'Mapa final'!$O$24),"")</f>
        <v/>
      </c>
      <c r="AK18" s="55" t="str">
        <f>IF(AND('Mapa final'!$Y$25="Alta",'Mapa final'!$AA$25="Catastrófico"),CONCATENATE("R3C",'Mapa final'!$O$25),"")</f>
        <v/>
      </c>
      <c r="AL18" s="55" t="str">
        <f>IF(AND('Mapa final'!$Y$26="Alta",'Mapa final'!$AA$26="Catastrófico"),CONCATENATE("R3C",'Mapa final'!$O$26),"")</f>
        <v/>
      </c>
      <c r="AM18" s="56" t="str">
        <f>IF(AND('Mapa final'!$Y$27="Alta",'Mapa final'!$AA$27="Catastrófico"),CONCATENATE("R3C",'Mapa final'!$O$27),"")</f>
        <v/>
      </c>
      <c r="AN18" s="82"/>
      <c r="AO18" s="401"/>
      <c r="AP18" s="402"/>
      <c r="AQ18" s="402"/>
      <c r="AR18" s="402"/>
      <c r="AS18" s="402"/>
      <c r="AT18" s="403"/>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3">
      <c r="A19" s="82"/>
      <c r="B19" s="350"/>
      <c r="C19" s="350"/>
      <c r="D19" s="351"/>
      <c r="E19" s="391"/>
      <c r="F19" s="392"/>
      <c r="G19" s="392"/>
      <c r="H19" s="392"/>
      <c r="I19" s="392"/>
      <c r="J19" s="66" t="str">
        <f>IF(AND('Mapa final'!$Y$28="Alta",'Mapa final'!$AA$28="Leve"),CONCATENATE("R4C",'Mapa final'!$O$28),"")</f>
        <v/>
      </c>
      <c r="K19" s="67" t="str">
        <f>IF(AND('Mapa final'!$Y$29="Alta",'Mapa final'!$AA$29="Leve"),CONCATENATE("R4C",'Mapa final'!$O$29),"")</f>
        <v/>
      </c>
      <c r="L19" s="67" t="str">
        <f>IF(AND('Mapa final'!$Y$30="Alta",'Mapa final'!$AA$30="Leve"),CONCATENATE("R4C",'Mapa final'!$O$30),"")</f>
        <v/>
      </c>
      <c r="M19" s="67" t="str">
        <f>IF(AND('Mapa final'!$Y$31="Alta",'Mapa final'!$AA$31="Leve"),CONCATENATE("R4C",'Mapa final'!$O$31),"")</f>
        <v/>
      </c>
      <c r="N19" s="67" t="str">
        <f>IF(AND('Mapa final'!$Y$32="Alta",'Mapa final'!$AA$32="Leve"),CONCATENATE("R4C",'Mapa final'!$O$32),"")</f>
        <v/>
      </c>
      <c r="O19" s="68" t="str">
        <f>IF(AND('Mapa final'!$Y$33="Alta",'Mapa final'!$AA$33="Leve"),CONCATENATE("R4C",'Mapa final'!$O$33),"")</f>
        <v/>
      </c>
      <c r="P19" s="66" t="str">
        <f>IF(AND('Mapa final'!$Y$28="Alta",'Mapa final'!$AA$28="Menor"),CONCATENATE("R4C",'Mapa final'!$O$28),"")</f>
        <v/>
      </c>
      <c r="Q19" s="67" t="str">
        <f>IF(AND('Mapa final'!$Y$29="Alta",'Mapa final'!$AA$29="Menor"),CONCATENATE("R4C",'Mapa final'!$O$29),"")</f>
        <v/>
      </c>
      <c r="R19" s="67" t="str">
        <f>IF(AND('Mapa final'!$Y$30="Alta",'Mapa final'!$AA$30="Menor"),CONCATENATE("R4C",'Mapa final'!$O$30),"")</f>
        <v/>
      </c>
      <c r="S19" s="67" t="str">
        <f>IF(AND('Mapa final'!$Y$31="Alta",'Mapa final'!$AA$31="Menor"),CONCATENATE("R4C",'Mapa final'!$O$31),"")</f>
        <v/>
      </c>
      <c r="T19" s="67" t="str">
        <f>IF(AND('Mapa final'!$Y$32="Alta",'Mapa final'!$AA$32="Menor"),CONCATENATE("R4C",'Mapa final'!$O$32),"")</f>
        <v/>
      </c>
      <c r="U19" s="68" t="str">
        <f>IF(AND('Mapa final'!$Y$33="Alta",'Mapa final'!$AA$33="Menor"),CONCATENATE("R4C",'Mapa final'!$O$33),"")</f>
        <v/>
      </c>
      <c r="V19" s="51" t="str">
        <f>IF(AND('Mapa final'!$Y$28="Alta",'Mapa final'!$AA$28="Moderado"),CONCATENATE("R4C",'Mapa final'!$O$28),"")</f>
        <v/>
      </c>
      <c r="W19" s="52" t="str">
        <f>IF(AND('Mapa final'!$Y$29="Alta",'Mapa final'!$AA$29="Moderado"),CONCATENATE("R4C",'Mapa final'!$O$29),"")</f>
        <v/>
      </c>
      <c r="X19" s="52" t="str">
        <f>IF(AND('Mapa final'!$Y$30="Alta",'Mapa final'!$AA$30="Moderado"),CONCATENATE("R4C",'Mapa final'!$O$30),"")</f>
        <v/>
      </c>
      <c r="Y19" s="52" t="str">
        <f>IF(AND('Mapa final'!$Y$31="Alta",'Mapa final'!$AA$31="Moderado"),CONCATENATE("R4C",'Mapa final'!$O$31),"")</f>
        <v/>
      </c>
      <c r="Z19" s="52" t="str">
        <f>IF(AND('Mapa final'!$Y$32="Alta",'Mapa final'!$AA$32="Moderado"),CONCATENATE("R4C",'Mapa final'!$O$32),"")</f>
        <v/>
      </c>
      <c r="AA19" s="53" t="str">
        <f>IF(AND('Mapa final'!$Y$33="Alta",'Mapa final'!$AA$33="Moderado"),CONCATENATE("R4C",'Mapa final'!$O$33),"")</f>
        <v/>
      </c>
      <c r="AB19" s="51" t="str">
        <f>IF(AND('Mapa final'!$Y$28="Alta",'Mapa final'!$AA$28="Mayor"),CONCATENATE("R4C",'Mapa final'!$O$28),"")</f>
        <v/>
      </c>
      <c r="AC19" s="52" t="str">
        <f>IF(AND('Mapa final'!$Y$29="Alta",'Mapa final'!$AA$29="Mayor"),CONCATENATE("R4C",'Mapa final'!$O$29),"")</f>
        <v/>
      </c>
      <c r="AD19" s="52" t="str">
        <f>IF(AND('Mapa final'!$Y$30="Alta",'Mapa final'!$AA$30="Mayor"),CONCATENATE("R4C",'Mapa final'!$O$30),"")</f>
        <v/>
      </c>
      <c r="AE19" s="52" t="str">
        <f>IF(AND('Mapa final'!$Y$31="Alta",'Mapa final'!$AA$31="Mayor"),CONCATENATE("R4C",'Mapa final'!$O$31),"")</f>
        <v/>
      </c>
      <c r="AF19" s="52" t="str">
        <f>IF(AND('Mapa final'!$Y$32="Alta",'Mapa final'!$AA$32="Mayor"),CONCATENATE("R4C",'Mapa final'!$O$32),"")</f>
        <v/>
      </c>
      <c r="AG19" s="53" t="str">
        <f>IF(AND('Mapa final'!$Y$33="Alta",'Mapa final'!$AA$33="Mayor"),CONCATENATE("R4C",'Mapa final'!$O$33),"")</f>
        <v/>
      </c>
      <c r="AH19" s="54" t="str">
        <f>IF(AND('Mapa final'!$Y$28="Alta",'Mapa final'!$AA$28="Catastrófico"),CONCATENATE("R4C",'Mapa final'!$O$28),"")</f>
        <v/>
      </c>
      <c r="AI19" s="55" t="str">
        <f>IF(AND('Mapa final'!$Y$29="Alta",'Mapa final'!$AA$29="Catastrófico"),CONCATENATE("R4C",'Mapa final'!$O$29),"")</f>
        <v/>
      </c>
      <c r="AJ19" s="55" t="str">
        <f>IF(AND('Mapa final'!$Y$30="Alta",'Mapa final'!$AA$30="Catastrófico"),CONCATENATE("R4C",'Mapa final'!$O$30),"")</f>
        <v/>
      </c>
      <c r="AK19" s="55" t="str">
        <f>IF(AND('Mapa final'!$Y$31="Alta",'Mapa final'!$AA$31="Catastrófico"),CONCATENATE("R4C",'Mapa final'!$O$31),"")</f>
        <v/>
      </c>
      <c r="AL19" s="55" t="str">
        <f>IF(AND('Mapa final'!$Y$32="Alta",'Mapa final'!$AA$32="Catastrófico"),CONCATENATE("R4C",'Mapa final'!$O$32),"")</f>
        <v/>
      </c>
      <c r="AM19" s="56" t="str">
        <f>IF(AND('Mapa final'!$Y$33="Alta",'Mapa final'!$AA$33="Catastrófico"),CONCATENATE("R4C",'Mapa final'!$O$33),"")</f>
        <v/>
      </c>
      <c r="AN19" s="82"/>
      <c r="AO19" s="401"/>
      <c r="AP19" s="402"/>
      <c r="AQ19" s="402"/>
      <c r="AR19" s="402"/>
      <c r="AS19" s="402"/>
      <c r="AT19" s="403"/>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3">
      <c r="A20" s="82"/>
      <c r="B20" s="350"/>
      <c r="C20" s="350"/>
      <c r="D20" s="351"/>
      <c r="E20" s="391"/>
      <c r="F20" s="392"/>
      <c r="G20" s="392"/>
      <c r="H20" s="392"/>
      <c r="I20" s="392"/>
      <c r="J20" s="66" t="str">
        <f>IF(AND('Mapa final'!$Y$34="Alta",'Mapa final'!$AA$34="Leve"),CONCATENATE("R5C",'Mapa final'!$O$34),"")</f>
        <v/>
      </c>
      <c r="K20" s="67" t="e">
        <f>IF(AND('Mapa final'!#REF!="Alta",'Mapa final'!#REF!="Leve"),CONCATENATE("R5C",'Mapa final'!#REF!),"")</f>
        <v>#REF!</v>
      </c>
      <c r="L20" s="67" t="e">
        <f>IF(AND('Mapa final'!#REF!="Alta",'Mapa final'!#REF!="Leve"),CONCATENATE("R5C",'Mapa final'!#REF!),"")</f>
        <v>#REF!</v>
      </c>
      <c r="M20" s="67" t="e">
        <f>IF(AND('Mapa final'!#REF!="Alta",'Mapa final'!#REF!="Leve"),CONCATENATE("R5C",'Mapa final'!#REF!),"")</f>
        <v>#REF!</v>
      </c>
      <c r="N20" s="67" t="str">
        <f>IF(AND('Mapa final'!$Y$35="Alta",'Mapa final'!$AA$35="Leve"),CONCATENATE("R5C",'Mapa final'!$O$35),"")</f>
        <v/>
      </c>
      <c r="O20" s="68" t="str">
        <f>IF(AND('Mapa final'!$Y$36="Alta",'Mapa final'!$AA$36="Leve"),CONCATENATE("R5C",'Mapa final'!$O$36),"")</f>
        <v/>
      </c>
      <c r="P20" s="66" t="str">
        <f>IF(AND('Mapa final'!$Y$34="Alta",'Mapa final'!$AA$34="Menor"),CONCATENATE("R5C",'Mapa final'!$O$34),"")</f>
        <v/>
      </c>
      <c r="Q20" s="67" t="e">
        <f>IF(AND('Mapa final'!#REF!="Alta",'Mapa final'!#REF!="Menor"),CONCATENATE("R5C",'Mapa final'!#REF!),"")</f>
        <v>#REF!</v>
      </c>
      <c r="R20" s="67" t="e">
        <f>IF(AND('Mapa final'!#REF!="Alta",'Mapa final'!#REF!="Menor"),CONCATENATE("R5C",'Mapa final'!#REF!),"")</f>
        <v>#REF!</v>
      </c>
      <c r="S20" s="67" t="e">
        <f>IF(AND('Mapa final'!#REF!="Alta",'Mapa final'!#REF!="Menor"),CONCATENATE("R5C",'Mapa final'!#REF!),"")</f>
        <v>#REF!</v>
      </c>
      <c r="T20" s="67" t="str">
        <f>IF(AND('Mapa final'!$Y$35="Alta",'Mapa final'!$AA$35="Menor"),CONCATENATE("R5C",'Mapa final'!$O$35),"")</f>
        <v/>
      </c>
      <c r="U20" s="68" t="str">
        <f>IF(AND('Mapa final'!$Y$36="Alta",'Mapa final'!$AA$36="Menor"),CONCATENATE("R5C",'Mapa final'!$O$36),"")</f>
        <v/>
      </c>
      <c r="V20" s="51" t="str">
        <f>IF(AND('Mapa final'!$Y$34="Alta",'Mapa final'!$AA$34="Moderado"),CONCATENATE("R5C",'Mapa final'!$O$34),"")</f>
        <v/>
      </c>
      <c r="W20" s="52" t="e">
        <f>IF(AND('Mapa final'!#REF!="Alta",'Mapa final'!#REF!="Moderado"),CONCATENATE("R5C",'Mapa final'!#REF!),"")</f>
        <v>#REF!</v>
      </c>
      <c r="X20" s="52" t="e">
        <f>IF(AND('Mapa final'!#REF!="Alta",'Mapa final'!#REF!="Moderado"),CONCATENATE("R5C",'Mapa final'!#REF!),"")</f>
        <v>#REF!</v>
      </c>
      <c r="Y20" s="52" t="e">
        <f>IF(AND('Mapa final'!#REF!="Alta",'Mapa final'!#REF!="Moderado"),CONCATENATE("R5C",'Mapa final'!#REF!),"")</f>
        <v>#REF!</v>
      </c>
      <c r="Z20" s="52" t="str">
        <f>IF(AND('Mapa final'!$Y$35="Alta",'Mapa final'!$AA$35="Moderado"),CONCATENATE("R5C",'Mapa final'!$O$35),"")</f>
        <v/>
      </c>
      <c r="AA20" s="53" t="str">
        <f>IF(AND('Mapa final'!$Y$36="Alta",'Mapa final'!$AA$36="Moderado"),CONCATENATE("R5C",'Mapa final'!$O$36),"")</f>
        <v/>
      </c>
      <c r="AB20" s="51" t="str">
        <f>IF(AND('Mapa final'!$Y$34="Alta",'Mapa final'!$AA$34="Mayor"),CONCATENATE("R5C",'Mapa final'!$O$34),"")</f>
        <v/>
      </c>
      <c r="AC20" s="52" t="e">
        <f>IF(AND('Mapa final'!#REF!="Alta",'Mapa final'!#REF!="Mayor"),CONCATENATE("R5C",'Mapa final'!#REF!),"")</f>
        <v>#REF!</v>
      </c>
      <c r="AD20" s="52" t="e">
        <f>IF(AND('Mapa final'!#REF!="Alta",'Mapa final'!#REF!="Mayor"),CONCATENATE("R5C",'Mapa final'!#REF!),"")</f>
        <v>#REF!</v>
      </c>
      <c r="AE20" s="52" t="e">
        <f>IF(AND('Mapa final'!#REF!="Alta",'Mapa final'!#REF!="Mayor"),CONCATENATE("R5C",'Mapa final'!#REF!),"")</f>
        <v>#REF!</v>
      </c>
      <c r="AF20" s="52" t="str">
        <f>IF(AND('Mapa final'!$Y$35="Alta",'Mapa final'!$AA$35="Mayor"),CONCATENATE("R5C",'Mapa final'!$O$35),"")</f>
        <v/>
      </c>
      <c r="AG20" s="53" t="str">
        <f>IF(AND('Mapa final'!$Y$36="Alta",'Mapa final'!$AA$36="Mayor"),CONCATENATE("R5C",'Mapa final'!$O$36),"")</f>
        <v/>
      </c>
      <c r="AH20" s="54" t="str">
        <f>IF(AND('Mapa final'!$Y$34="Alta",'Mapa final'!$AA$34="Catastrófico"),CONCATENATE("R5C",'Mapa final'!$O$34),"")</f>
        <v/>
      </c>
      <c r="AI20" s="55" t="e">
        <f>IF(AND('Mapa final'!#REF!="Alta",'Mapa final'!#REF!="Catastrófico"),CONCATENATE("R5C",'Mapa final'!#REF!),"")</f>
        <v>#REF!</v>
      </c>
      <c r="AJ20" s="55" t="e">
        <f>IF(AND('Mapa final'!#REF!="Alta",'Mapa final'!#REF!="Catastrófico"),CONCATENATE("R5C",'Mapa final'!#REF!),"")</f>
        <v>#REF!</v>
      </c>
      <c r="AK20" s="55" t="e">
        <f>IF(AND('Mapa final'!#REF!="Alta",'Mapa final'!#REF!="Catastrófico"),CONCATENATE("R5C",'Mapa final'!#REF!),"")</f>
        <v>#REF!</v>
      </c>
      <c r="AL20" s="55" t="str">
        <f>IF(AND('Mapa final'!$Y$35="Alta",'Mapa final'!$AA$35="Catastrófico"),CONCATENATE("R5C",'Mapa final'!$O$35),"")</f>
        <v/>
      </c>
      <c r="AM20" s="56" t="str">
        <f>IF(AND('Mapa final'!$Y$36="Alta",'Mapa final'!$AA$36="Catastrófico"),CONCATENATE("R5C",'Mapa final'!$O$36),"")</f>
        <v/>
      </c>
      <c r="AN20" s="82"/>
      <c r="AO20" s="401"/>
      <c r="AP20" s="402"/>
      <c r="AQ20" s="402"/>
      <c r="AR20" s="402"/>
      <c r="AS20" s="402"/>
      <c r="AT20" s="403"/>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3">
      <c r="A21" s="82"/>
      <c r="B21" s="350"/>
      <c r="C21" s="350"/>
      <c r="D21" s="351"/>
      <c r="E21" s="391"/>
      <c r="F21" s="392"/>
      <c r="G21" s="392"/>
      <c r="H21" s="392"/>
      <c r="I21" s="392"/>
      <c r="J21" s="66" t="str">
        <f>IF(AND('Mapa final'!$Y$37="Alta",'Mapa final'!$AA$37="Leve"),CONCATENATE("R6C",'Mapa final'!$O$37),"")</f>
        <v/>
      </c>
      <c r="K21" s="67" t="str">
        <f>IF(AND('Mapa final'!$Y$38="Alta",'Mapa final'!$AA$38="Leve"),CONCATENATE("R6C",'Mapa final'!$O$38),"")</f>
        <v/>
      </c>
      <c r="L21" s="67" t="str">
        <f>IF(AND('Mapa final'!$Y$39="Alta",'Mapa final'!$AA$39="Leve"),CONCATENATE("R6C",'Mapa final'!$O$39),"")</f>
        <v/>
      </c>
      <c r="M21" s="67" t="str">
        <f>IF(AND('Mapa final'!$Y$40="Alta",'Mapa final'!$AA$40="Leve"),CONCATENATE("R6C",'Mapa final'!$O$40),"")</f>
        <v/>
      </c>
      <c r="N21" s="67" t="str">
        <f>IF(AND('Mapa final'!$Y$41="Alta",'Mapa final'!$AA$41="Leve"),CONCATENATE("R6C",'Mapa final'!$O$41),"")</f>
        <v/>
      </c>
      <c r="O21" s="68" t="str">
        <f>IF(AND('Mapa final'!$Y$42="Alta",'Mapa final'!$AA$42="Leve"),CONCATENATE("R6C",'Mapa final'!$O$42),"")</f>
        <v/>
      </c>
      <c r="P21" s="66" t="str">
        <f>IF(AND('Mapa final'!$Y$37="Alta",'Mapa final'!$AA$37="Menor"),CONCATENATE("R6C",'Mapa final'!$O$37),"")</f>
        <v/>
      </c>
      <c r="Q21" s="67" t="str">
        <f>IF(AND('Mapa final'!$Y$38="Alta",'Mapa final'!$AA$38="Menor"),CONCATENATE("R6C",'Mapa final'!$O$38),"")</f>
        <v/>
      </c>
      <c r="R21" s="67" t="str">
        <f>IF(AND('Mapa final'!$Y$39="Alta",'Mapa final'!$AA$39="Menor"),CONCATENATE("R6C",'Mapa final'!$O$39),"")</f>
        <v/>
      </c>
      <c r="S21" s="67" t="str">
        <f>IF(AND('Mapa final'!$Y$40="Alta",'Mapa final'!$AA$40="Menor"),CONCATENATE("R6C",'Mapa final'!$O$40),"")</f>
        <v/>
      </c>
      <c r="T21" s="67" t="str">
        <f>IF(AND('Mapa final'!$Y$41="Alta",'Mapa final'!$AA$41="Menor"),CONCATENATE("R6C",'Mapa final'!$O$41),"")</f>
        <v/>
      </c>
      <c r="U21" s="68" t="str">
        <f>IF(AND('Mapa final'!$Y$42="Alta",'Mapa final'!$AA$42="Menor"),CONCATENATE("R6C",'Mapa final'!$O$42),"")</f>
        <v/>
      </c>
      <c r="V21" s="51" t="str">
        <f>IF(AND('Mapa final'!$Y$37="Alta",'Mapa final'!$AA$37="Moderado"),CONCATENATE("R6C",'Mapa final'!$O$37),"")</f>
        <v/>
      </c>
      <c r="W21" s="52" t="str">
        <f>IF(AND('Mapa final'!$Y$38="Alta",'Mapa final'!$AA$38="Moderado"),CONCATENATE("R6C",'Mapa final'!$O$38),"")</f>
        <v/>
      </c>
      <c r="X21" s="52" t="str">
        <f>IF(AND('Mapa final'!$Y$39="Alta",'Mapa final'!$AA$39="Moderado"),CONCATENATE("R6C",'Mapa final'!$O$39),"")</f>
        <v/>
      </c>
      <c r="Y21" s="52" t="str">
        <f>IF(AND('Mapa final'!$Y$40="Alta",'Mapa final'!$AA$40="Moderado"),CONCATENATE("R6C",'Mapa final'!$O$40),"")</f>
        <v/>
      </c>
      <c r="Z21" s="52" t="str">
        <f>IF(AND('Mapa final'!$Y$41="Alta",'Mapa final'!$AA$41="Moderado"),CONCATENATE("R6C",'Mapa final'!$O$41),"")</f>
        <v/>
      </c>
      <c r="AA21" s="53" t="str">
        <f>IF(AND('Mapa final'!$Y$42="Alta",'Mapa final'!$AA$42="Moderado"),CONCATENATE("R6C",'Mapa final'!$O$42),"")</f>
        <v/>
      </c>
      <c r="AB21" s="51" t="str">
        <f>IF(AND('Mapa final'!$Y$37="Alta",'Mapa final'!$AA$37="Mayor"),CONCATENATE("R6C",'Mapa final'!$O$37),"")</f>
        <v/>
      </c>
      <c r="AC21" s="52" t="str">
        <f>IF(AND('Mapa final'!$Y$38="Alta",'Mapa final'!$AA$38="Mayor"),CONCATENATE("R6C",'Mapa final'!$O$38),"")</f>
        <v/>
      </c>
      <c r="AD21" s="52" t="str">
        <f>IF(AND('Mapa final'!$Y$39="Alta",'Mapa final'!$AA$39="Mayor"),CONCATENATE("R6C",'Mapa final'!$O$39),"")</f>
        <v/>
      </c>
      <c r="AE21" s="52" t="str">
        <f>IF(AND('Mapa final'!$Y$40="Alta",'Mapa final'!$AA$40="Mayor"),CONCATENATE("R6C",'Mapa final'!$O$40),"")</f>
        <v/>
      </c>
      <c r="AF21" s="52" t="str">
        <f>IF(AND('Mapa final'!$Y$41="Alta",'Mapa final'!$AA$41="Mayor"),CONCATENATE("R6C",'Mapa final'!$O$41),"")</f>
        <v/>
      </c>
      <c r="AG21" s="53" t="str">
        <f>IF(AND('Mapa final'!$Y$42="Alta",'Mapa final'!$AA$42="Mayor"),CONCATENATE("R6C",'Mapa final'!$O$42),"")</f>
        <v/>
      </c>
      <c r="AH21" s="54" t="str">
        <f>IF(AND('Mapa final'!$Y$37="Alta",'Mapa final'!$AA$37="Catastrófico"),CONCATENATE("R6C",'Mapa final'!$O$37),"")</f>
        <v/>
      </c>
      <c r="AI21" s="55" t="str">
        <f>IF(AND('Mapa final'!$Y$38="Alta",'Mapa final'!$AA$38="Catastrófico"),CONCATENATE("R6C",'Mapa final'!$O$38),"")</f>
        <v/>
      </c>
      <c r="AJ21" s="55" t="str">
        <f>IF(AND('Mapa final'!$Y$39="Alta",'Mapa final'!$AA$39="Catastrófico"),CONCATENATE("R6C",'Mapa final'!$O$39),"")</f>
        <v/>
      </c>
      <c r="AK21" s="55" t="str">
        <f>IF(AND('Mapa final'!$Y$40="Alta",'Mapa final'!$AA$40="Catastrófico"),CONCATENATE("R6C",'Mapa final'!$O$40),"")</f>
        <v/>
      </c>
      <c r="AL21" s="55" t="str">
        <f>IF(AND('Mapa final'!$Y$41="Alta",'Mapa final'!$AA$41="Catastrófico"),CONCATENATE("R6C",'Mapa final'!$O$41),"")</f>
        <v/>
      </c>
      <c r="AM21" s="56" t="str">
        <f>IF(AND('Mapa final'!$Y$42="Alta",'Mapa final'!$AA$42="Catastrófico"),CONCATENATE("R6C",'Mapa final'!$O$42),"")</f>
        <v/>
      </c>
      <c r="AN21" s="82"/>
      <c r="AO21" s="401"/>
      <c r="AP21" s="402"/>
      <c r="AQ21" s="402"/>
      <c r="AR21" s="402"/>
      <c r="AS21" s="402"/>
      <c r="AT21" s="403"/>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3">
      <c r="A22" s="82"/>
      <c r="B22" s="350"/>
      <c r="C22" s="350"/>
      <c r="D22" s="351"/>
      <c r="E22" s="391"/>
      <c r="F22" s="392"/>
      <c r="G22" s="392"/>
      <c r="H22" s="392"/>
      <c r="I22" s="392"/>
      <c r="J22" s="66" t="str">
        <f>IF(AND('Mapa final'!$Y$43="Alta",'Mapa final'!$AA$43="Leve"),CONCATENATE("R7C",'Mapa final'!$O$43),"")</f>
        <v/>
      </c>
      <c r="K22" s="67" t="str">
        <f>IF(AND('Mapa final'!$Y$44="Alta",'Mapa final'!$AA$44="Leve"),CONCATENATE("R7C",'Mapa final'!$O$44),"")</f>
        <v/>
      </c>
      <c r="L22" s="67" t="str">
        <f>IF(AND('Mapa final'!$Y$45="Alta",'Mapa final'!$AA$45="Leve"),CONCATENATE("R7C",'Mapa final'!$O$45),"")</f>
        <v/>
      </c>
      <c r="M22" s="67" t="str">
        <f>IF(AND('Mapa final'!$Y$46="Alta",'Mapa final'!$AA$46="Leve"),CONCATENATE("R7C",'Mapa final'!$O$46),"")</f>
        <v/>
      </c>
      <c r="N22" s="67" t="str">
        <f>IF(AND('Mapa final'!$Y$47="Alta",'Mapa final'!$AA$47="Leve"),CONCATENATE("R7C",'Mapa final'!$O$47),"")</f>
        <v/>
      </c>
      <c r="O22" s="68" t="str">
        <f>IF(AND('Mapa final'!$Y$48="Alta",'Mapa final'!$AA$48="Leve"),CONCATENATE("R7C",'Mapa final'!$O$48),"")</f>
        <v/>
      </c>
      <c r="P22" s="66" t="str">
        <f>IF(AND('Mapa final'!$Y$43="Alta",'Mapa final'!$AA$43="Menor"),CONCATENATE("R7C",'Mapa final'!$O$43),"")</f>
        <v/>
      </c>
      <c r="Q22" s="67" t="str">
        <f>IF(AND('Mapa final'!$Y$44="Alta",'Mapa final'!$AA$44="Menor"),CONCATENATE("R7C",'Mapa final'!$O$44),"")</f>
        <v/>
      </c>
      <c r="R22" s="67" t="str">
        <f>IF(AND('Mapa final'!$Y$45="Alta",'Mapa final'!$AA$45="Menor"),CONCATENATE("R7C",'Mapa final'!$O$45),"")</f>
        <v/>
      </c>
      <c r="S22" s="67" t="str">
        <f>IF(AND('Mapa final'!$Y$46="Alta",'Mapa final'!$AA$46="Menor"),CONCATENATE("R7C",'Mapa final'!$O$46),"")</f>
        <v/>
      </c>
      <c r="T22" s="67" t="str">
        <f>IF(AND('Mapa final'!$Y$47="Alta",'Mapa final'!$AA$47="Menor"),CONCATENATE("R7C",'Mapa final'!$O$47),"")</f>
        <v/>
      </c>
      <c r="U22" s="68" t="str">
        <f>IF(AND('Mapa final'!$Y$48="Alta",'Mapa final'!$AA$48="Menor"),CONCATENATE("R7C",'Mapa final'!$O$48),"")</f>
        <v/>
      </c>
      <c r="V22" s="51" t="str">
        <f>IF(AND('Mapa final'!$Y$43="Alta",'Mapa final'!$AA$43="Moderado"),CONCATENATE("R7C",'Mapa final'!$O$43),"")</f>
        <v/>
      </c>
      <c r="W22" s="52" t="str">
        <f>IF(AND('Mapa final'!$Y$44="Alta",'Mapa final'!$AA$44="Moderado"),CONCATENATE("R7C",'Mapa final'!$O$44),"")</f>
        <v/>
      </c>
      <c r="X22" s="52" t="str">
        <f>IF(AND('Mapa final'!$Y$45="Alta",'Mapa final'!$AA$45="Moderado"),CONCATENATE("R7C",'Mapa final'!$O$45),"")</f>
        <v/>
      </c>
      <c r="Y22" s="52" t="str">
        <f>IF(AND('Mapa final'!$Y$46="Alta",'Mapa final'!$AA$46="Moderado"),CONCATENATE("R7C",'Mapa final'!$O$46),"")</f>
        <v/>
      </c>
      <c r="Z22" s="52" t="str">
        <f>IF(AND('Mapa final'!$Y$47="Alta",'Mapa final'!$AA$47="Moderado"),CONCATENATE("R7C",'Mapa final'!$O$47),"")</f>
        <v/>
      </c>
      <c r="AA22" s="53" t="str">
        <f>IF(AND('Mapa final'!$Y$48="Alta",'Mapa final'!$AA$48="Moderado"),CONCATENATE("R7C",'Mapa final'!$O$48),"")</f>
        <v/>
      </c>
      <c r="AB22" s="51" t="str">
        <f>IF(AND('Mapa final'!$Y$43="Alta",'Mapa final'!$AA$43="Mayor"),CONCATENATE("R7C",'Mapa final'!$O$43),"")</f>
        <v/>
      </c>
      <c r="AC22" s="52" t="str">
        <f>IF(AND('Mapa final'!$Y$44="Alta",'Mapa final'!$AA$44="Mayor"),CONCATENATE("R7C",'Mapa final'!$O$44),"")</f>
        <v/>
      </c>
      <c r="AD22" s="52" t="str">
        <f>IF(AND('Mapa final'!$Y$45="Alta",'Mapa final'!$AA$45="Mayor"),CONCATENATE("R7C",'Mapa final'!$O$45),"")</f>
        <v/>
      </c>
      <c r="AE22" s="52" t="str">
        <f>IF(AND('Mapa final'!$Y$46="Alta",'Mapa final'!$AA$46="Mayor"),CONCATENATE("R7C",'Mapa final'!$O$46),"")</f>
        <v/>
      </c>
      <c r="AF22" s="52" t="str">
        <f>IF(AND('Mapa final'!$Y$47="Alta",'Mapa final'!$AA$47="Mayor"),CONCATENATE("R7C",'Mapa final'!$O$47),"")</f>
        <v/>
      </c>
      <c r="AG22" s="53" t="str">
        <f>IF(AND('Mapa final'!$Y$48="Alta",'Mapa final'!$AA$48="Mayor"),CONCATENATE("R7C",'Mapa final'!$O$48),"")</f>
        <v/>
      </c>
      <c r="AH22" s="54" t="str">
        <f>IF(AND('Mapa final'!$Y$43="Alta",'Mapa final'!$AA$43="Catastrófico"),CONCATENATE("R7C",'Mapa final'!$O$43),"")</f>
        <v/>
      </c>
      <c r="AI22" s="55" t="str">
        <f>IF(AND('Mapa final'!$Y$44="Alta",'Mapa final'!$AA$44="Catastrófico"),CONCATENATE("R7C",'Mapa final'!$O$44),"")</f>
        <v/>
      </c>
      <c r="AJ22" s="55" t="str">
        <f>IF(AND('Mapa final'!$Y$45="Alta",'Mapa final'!$AA$45="Catastrófico"),CONCATENATE("R7C",'Mapa final'!$O$45),"")</f>
        <v/>
      </c>
      <c r="AK22" s="55" t="str">
        <f>IF(AND('Mapa final'!$Y$46="Alta",'Mapa final'!$AA$46="Catastrófico"),CONCATENATE("R7C",'Mapa final'!$O$46),"")</f>
        <v/>
      </c>
      <c r="AL22" s="55" t="str">
        <f>IF(AND('Mapa final'!$Y$47="Alta",'Mapa final'!$AA$47="Catastrófico"),CONCATENATE("R7C",'Mapa final'!$O$47),"")</f>
        <v/>
      </c>
      <c r="AM22" s="56" t="str">
        <f>IF(AND('Mapa final'!$Y$48="Alta",'Mapa final'!$AA$48="Catastrófico"),CONCATENATE("R7C",'Mapa final'!$O$48),"")</f>
        <v/>
      </c>
      <c r="AN22" s="82"/>
      <c r="AO22" s="401"/>
      <c r="AP22" s="402"/>
      <c r="AQ22" s="402"/>
      <c r="AR22" s="402"/>
      <c r="AS22" s="402"/>
      <c r="AT22" s="403"/>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3">
      <c r="A23" s="82"/>
      <c r="B23" s="350"/>
      <c r="C23" s="350"/>
      <c r="D23" s="351"/>
      <c r="E23" s="391"/>
      <c r="F23" s="392"/>
      <c r="G23" s="392"/>
      <c r="H23" s="392"/>
      <c r="I23" s="392"/>
      <c r="J23" s="66" t="str">
        <f>IF(AND('Mapa final'!$Y$49="Alta",'Mapa final'!$AA$49="Leve"),CONCATENATE("R8C",'Mapa final'!$O$49),"")</f>
        <v/>
      </c>
      <c r="K23" s="67" t="str">
        <f>IF(AND('Mapa final'!$Y$50="Alta",'Mapa final'!$AA$50="Leve"),CONCATENATE("R8C",'Mapa final'!$O$50),"")</f>
        <v/>
      </c>
      <c r="L23" s="67" t="str">
        <f>IF(AND('Mapa final'!$Y$51="Alta",'Mapa final'!$AA$51="Leve"),CONCATENATE("R8C",'Mapa final'!$O$51),"")</f>
        <v/>
      </c>
      <c r="M23" s="67" t="str">
        <f>IF(AND('Mapa final'!$Y$52="Alta",'Mapa final'!$AA$52="Leve"),CONCATENATE("R8C",'Mapa final'!$O$52),"")</f>
        <v/>
      </c>
      <c r="N23" s="67" t="str">
        <f>IF(AND('Mapa final'!$Y$53="Alta",'Mapa final'!$AA$53="Leve"),CONCATENATE("R8C",'Mapa final'!$O$53),"")</f>
        <v/>
      </c>
      <c r="O23" s="68" t="str">
        <f>IF(AND('Mapa final'!$Y$54="Alta",'Mapa final'!$AA$54="Leve"),CONCATENATE("R8C",'Mapa final'!$O$54),"")</f>
        <v/>
      </c>
      <c r="P23" s="66" t="str">
        <f>IF(AND('Mapa final'!$Y$49="Alta",'Mapa final'!$AA$49="Menor"),CONCATENATE("R8C",'Mapa final'!$O$49),"")</f>
        <v/>
      </c>
      <c r="Q23" s="67" t="str">
        <f>IF(AND('Mapa final'!$Y$50="Alta",'Mapa final'!$AA$50="Menor"),CONCATENATE("R8C",'Mapa final'!$O$50),"")</f>
        <v/>
      </c>
      <c r="R23" s="67" t="str">
        <f>IF(AND('Mapa final'!$Y$51="Alta",'Mapa final'!$AA$51="Menor"),CONCATENATE("R8C",'Mapa final'!$O$51),"")</f>
        <v/>
      </c>
      <c r="S23" s="67" t="str">
        <f>IF(AND('Mapa final'!$Y$52="Alta",'Mapa final'!$AA$52="Menor"),CONCATENATE("R8C",'Mapa final'!$O$52),"")</f>
        <v/>
      </c>
      <c r="T23" s="67" t="str">
        <f>IF(AND('Mapa final'!$Y$53="Alta",'Mapa final'!$AA$53="Menor"),CONCATENATE("R8C",'Mapa final'!$O$53),"")</f>
        <v/>
      </c>
      <c r="U23" s="68" t="str">
        <f>IF(AND('Mapa final'!$Y$54="Alta",'Mapa final'!$AA$54="Menor"),CONCATENATE("R8C",'Mapa final'!$O$54),"")</f>
        <v/>
      </c>
      <c r="V23" s="51" t="str">
        <f>IF(AND('Mapa final'!$Y$49="Alta",'Mapa final'!$AA$49="Moderado"),CONCATENATE("R8C",'Mapa final'!$O$49),"")</f>
        <v/>
      </c>
      <c r="W23" s="52" t="str">
        <f>IF(AND('Mapa final'!$Y$50="Alta",'Mapa final'!$AA$50="Moderado"),CONCATENATE("R8C",'Mapa final'!$O$50),"")</f>
        <v/>
      </c>
      <c r="X23" s="52" t="str">
        <f>IF(AND('Mapa final'!$Y$51="Alta",'Mapa final'!$AA$51="Moderado"),CONCATENATE("R8C",'Mapa final'!$O$51),"")</f>
        <v/>
      </c>
      <c r="Y23" s="52" t="str">
        <f>IF(AND('Mapa final'!$Y$52="Alta",'Mapa final'!$AA$52="Moderado"),CONCATENATE("R8C",'Mapa final'!$O$52),"")</f>
        <v/>
      </c>
      <c r="Z23" s="52" t="str">
        <f>IF(AND('Mapa final'!$Y$53="Alta",'Mapa final'!$AA$53="Moderado"),CONCATENATE("R8C",'Mapa final'!$O$53),"")</f>
        <v/>
      </c>
      <c r="AA23" s="53" t="str">
        <f>IF(AND('Mapa final'!$Y$54="Alta",'Mapa final'!$AA$54="Moderado"),CONCATENATE("R8C",'Mapa final'!$O$54),"")</f>
        <v/>
      </c>
      <c r="AB23" s="51" t="str">
        <f>IF(AND('Mapa final'!$Y$49="Alta",'Mapa final'!$AA$49="Mayor"),CONCATENATE("R8C",'Mapa final'!$O$49),"")</f>
        <v/>
      </c>
      <c r="AC23" s="52" t="str">
        <f>IF(AND('Mapa final'!$Y$50="Alta",'Mapa final'!$AA$50="Mayor"),CONCATENATE("R8C",'Mapa final'!$O$50),"")</f>
        <v/>
      </c>
      <c r="AD23" s="52" t="str">
        <f>IF(AND('Mapa final'!$Y$51="Alta",'Mapa final'!$AA$51="Mayor"),CONCATENATE("R8C",'Mapa final'!$O$51),"")</f>
        <v/>
      </c>
      <c r="AE23" s="52" t="str">
        <f>IF(AND('Mapa final'!$Y$52="Alta",'Mapa final'!$AA$52="Mayor"),CONCATENATE("R8C",'Mapa final'!$O$52),"")</f>
        <v/>
      </c>
      <c r="AF23" s="52" t="str">
        <f>IF(AND('Mapa final'!$Y$53="Alta",'Mapa final'!$AA$53="Mayor"),CONCATENATE("R8C",'Mapa final'!$O$53),"")</f>
        <v/>
      </c>
      <c r="AG23" s="53" t="str">
        <f>IF(AND('Mapa final'!$Y$54="Alta",'Mapa final'!$AA$54="Mayor"),CONCATENATE("R8C",'Mapa final'!$O$54),"")</f>
        <v/>
      </c>
      <c r="AH23" s="54" t="str">
        <f>IF(AND('Mapa final'!$Y$49="Alta",'Mapa final'!$AA$49="Catastrófico"),CONCATENATE("R8C",'Mapa final'!$O$49),"")</f>
        <v/>
      </c>
      <c r="AI23" s="55" t="str">
        <f>IF(AND('Mapa final'!$Y$50="Alta",'Mapa final'!$AA$50="Catastrófico"),CONCATENATE("R8C",'Mapa final'!$O$50),"")</f>
        <v/>
      </c>
      <c r="AJ23" s="55" t="str">
        <f>IF(AND('Mapa final'!$Y$51="Alta",'Mapa final'!$AA$51="Catastrófico"),CONCATENATE("R8C",'Mapa final'!$O$51),"")</f>
        <v/>
      </c>
      <c r="AK23" s="55" t="str">
        <f>IF(AND('Mapa final'!$Y$52="Alta",'Mapa final'!$AA$52="Catastrófico"),CONCATENATE("R8C",'Mapa final'!$O$52),"")</f>
        <v/>
      </c>
      <c r="AL23" s="55" t="str">
        <f>IF(AND('Mapa final'!$Y$53="Alta",'Mapa final'!$AA$53="Catastrófico"),CONCATENATE("R8C",'Mapa final'!$O$53),"")</f>
        <v/>
      </c>
      <c r="AM23" s="56" t="str">
        <f>IF(AND('Mapa final'!$Y$54="Alta",'Mapa final'!$AA$54="Catastrófico"),CONCATENATE("R8C",'Mapa final'!$O$54),"")</f>
        <v/>
      </c>
      <c r="AN23" s="82"/>
      <c r="AO23" s="401"/>
      <c r="AP23" s="402"/>
      <c r="AQ23" s="402"/>
      <c r="AR23" s="402"/>
      <c r="AS23" s="402"/>
      <c r="AT23" s="403"/>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3">
      <c r="A24" s="82"/>
      <c r="B24" s="350"/>
      <c r="C24" s="350"/>
      <c r="D24" s="351"/>
      <c r="E24" s="391"/>
      <c r="F24" s="392"/>
      <c r="G24" s="392"/>
      <c r="H24" s="392"/>
      <c r="I24" s="392"/>
      <c r="J24" s="66" t="str">
        <f>IF(AND('Mapa final'!$Y$55="Alta",'Mapa final'!$AA$55="Leve"),CONCATENATE("R9C",'Mapa final'!$O$55),"")</f>
        <v/>
      </c>
      <c r="K24" s="67" t="str">
        <f>IF(AND('Mapa final'!$Y$56="Alta",'Mapa final'!$AA$56="Leve"),CONCATENATE("R9C",'Mapa final'!$O$56),"")</f>
        <v/>
      </c>
      <c r="L24" s="67" t="str">
        <f>IF(AND('Mapa final'!$Y$57="Alta",'Mapa final'!$AA$57="Leve"),CONCATENATE("R9C",'Mapa final'!$O$57),"")</f>
        <v/>
      </c>
      <c r="M24" s="67" t="str">
        <f>IF(AND('Mapa final'!$Y$58="Alta",'Mapa final'!$AA$58="Leve"),CONCATENATE("R9C",'Mapa final'!$O$58),"")</f>
        <v/>
      </c>
      <c r="N24" s="67" t="str">
        <f>IF(AND('Mapa final'!$Y$59="Alta",'Mapa final'!$AA$59="Leve"),CONCATENATE("R9C",'Mapa final'!$O$59),"")</f>
        <v/>
      </c>
      <c r="O24" s="68" t="str">
        <f>IF(AND('Mapa final'!$Y$60="Alta",'Mapa final'!$AA$60="Leve"),CONCATENATE("R9C",'Mapa final'!$O$60),"")</f>
        <v/>
      </c>
      <c r="P24" s="66" t="str">
        <f>IF(AND('Mapa final'!$Y$55="Alta",'Mapa final'!$AA$55="Menor"),CONCATENATE("R9C",'Mapa final'!$O$55),"")</f>
        <v/>
      </c>
      <c r="Q24" s="67" t="str">
        <f>IF(AND('Mapa final'!$Y$56="Alta",'Mapa final'!$AA$56="Menor"),CONCATENATE("R9C",'Mapa final'!$O$56),"")</f>
        <v/>
      </c>
      <c r="R24" s="67" t="str">
        <f>IF(AND('Mapa final'!$Y$57="Alta",'Mapa final'!$AA$57="Menor"),CONCATENATE("R9C",'Mapa final'!$O$57),"")</f>
        <v/>
      </c>
      <c r="S24" s="67" t="str">
        <f>IF(AND('Mapa final'!$Y$58="Alta",'Mapa final'!$AA$58="Menor"),CONCATENATE("R9C",'Mapa final'!$O$58),"")</f>
        <v/>
      </c>
      <c r="T24" s="67" t="str">
        <f>IF(AND('Mapa final'!$Y$59="Alta",'Mapa final'!$AA$59="Menor"),CONCATENATE("R9C",'Mapa final'!$O$59),"")</f>
        <v/>
      </c>
      <c r="U24" s="68" t="str">
        <f>IF(AND('Mapa final'!$Y$60="Alta",'Mapa final'!$AA$60="Menor"),CONCATENATE("R9C",'Mapa final'!$O$60),"")</f>
        <v/>
      </c>
      <c r="V24" s="51" t="str">
        <f>IF(AND('Mapa final'!$Y$55="Alta",'Mapa final'!$AA$55="Moderado"),CONCATENATE("R9C",'Mapa final'!$O$55),"")</f>
        <v/>
      </c>
      <c r="W24" s="52" t="str">
        <f>IF(AND('Mapa final'!$Y$56="Alta",'Mapa final'!$AA$56="Moderado"),CONCATENATE("R9C",'Mapa final'!$O$56),"")</f>
        <v/>
      </c>
      <c r="X24" s="52" t="str">
        <f>IF(AND('Mapa final'!$Y$57="Alta",'Mapa final'!$AA$57="Moderado"),CONCATENATE("R9C",'Mapa final'!$O$57),"")</f>
        <v/>
      </c>
      <c r="Y24" s="52" t="str">
        <f>IF(AND('Mapa final'!$Y$58="Alta",'Mapa final'!$AA$58="Moderado"),CONCATENATE("R9C",'Mapa final'!$O$58),"")</f>
        <v/>
      </c>
      <c r="Z24" s="52" t="str">
        <f>IF(AND('Mapa final'!$Y$59="Alta",'Mapa final'!$AA$59="Moderado"),CONCATENATE("R9C",'Mapa final'!$O$59),"")</f>
        <v/>
      </c>
      <c r="AA24" s="53" t="str">
        <f>IF(AND('Mapa final'!$Y$60="Alta",'Mapa final'!$AA$60="Moderado"),CONCATENATE("R9C",'Mapa final'!$O$60),"")</f>
        <v/>
      </c>
      <c r="AB24" s="51" t="str">
        <f>IF(AND('Mapa final'!$Y$55="Alta",'Mapa final'!$AA$55="Mayor"),CONCATENATE("R9C",'Mapa final'!$O$55),"")</f>
        <v/>
      </c>
      <c r="AC24" s="52" t="str">
        <f>IF(AND('Mapa final'!$Y$56="Alta",'Mapa final'!$AA$56="Mayor"),CONCATENATE("R9C",'Mapa final'!$O$56),"")</f>
        <v/>
      </c>
      <c r="AD24" s="52" t="str">
        <f>IF(AND('Mapa final'!$Y$57="Alta",'Mapa final'!$AA$57="Mayor"),CONCATENATE("R9C",'Mapa final'!$O$57),"")</f>
        <v/>
      </c>
      <c r="AE24" s="52" t="str">
        <f>IF(AND('Mapa final'!$Y$58="Alta",'Mapa final'!$AA$58="Mayor"),CONCATENATE("R9C",'Mapa final'!$O$58),"")</f>
        <v/>
      </c>
      <c r="AF24" s="52" t="str">
        <f>IF(AND('Mapa final'!$Y$59="Alta",'Mapa final'!$AA$59="Mayor"),CONCATENATE("R9C",'Mapa final'!$O$59),"")</f>
        <v/>
      </c>
      <c r="AG24" s="53" t="str">
        <f>IF(AND('Mapa final'!$Y$60="Alta",'Mapa final'!$AA$60="Mayor"),CONCATENATE("R9C",'Mapa final'!$O$60),"")</f>
        <v/>
      </c>
      <c r="AH24" s="54" t="str">
        <f>IF(AND('Mapa final'!$Y$55="Alta",'Mapa final'!$AA$55="Catastrófico"),CONCATENATE("R9C",'Mapa final'!$O$55),"")</f>
        <v/>
      </c>
      <c r="AI24" s="55" t="str">
        <f>IF(AND('Mapa final'!$Y$56="Alta",'Mapa final'!$AA$56="Catastrófico"),CONCATENATE("R9C",'Mapa final'!$O$56),"")</f>
        <v/>
      </c>
      <c r="AJ24" s="55" t="str">
        <f>IF(AND('Mapa final'!$Y$57="Alta",'Mapa final'!$AA$57="Catastrófico"),CONCATENATE("R9C",'Mapa final'!$O$57),"")</f>
        <v/>
      </c>
      <c r="AK24" s="55" t="str">
        <f>IF(AND('Mapa final'!$Y$58="Alta",'Mapa final'!$AA$58="Catastrófico"),CONCATENATE("R9C",'Mapa final'!$O$58),"")</f>
        <v/>
      </c>
      <c r="AL24" s="55" t="str">
        <f>IF(AND('Mapa final'!$Y$59="Alta",'Mapa final'!$AA$59="Catastrófico"),CONCATENATE("R9C",'Mapa final'!$O$59),"")</f>
        <v/>
      </c>
      <c r="AM24" s="56" t="str">
        <f>IF(AND('Mapa final'!$Y$60="Alta",'Mapa final'!$AA$60="Catastrófico"),CONCATENATE("R9C",'Mapa final'!$O$60),"")</f>
        <v/>
      </c>
      <c r="AN24" s="82"/>
      <c r="AO24" s="401"/>
      <c r="AP24" s="402"/>
      <c r="AQ24" s="402"/>
      <c r="AR24" s="402"/>
      <c r="AS24" s="402"/>
      <c r="AT24" s="403"/>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5">
      <c r="A25" s="82"/>
      <c r="B25" s="350"/>
      <c r="C25" s="350"/>
      <c r="D25" s="351"/>
      <c r="E25" s="394"/>
      <c r="F25" s="395"/>
      <c r="G25" s="395"/>
      <c r="H25" s="395"/>
      <c r="I25" s="395"/>
      <c r="J25" s="69" t="str">
        <f>IF(AND('Mapa final'!$Y$61="Alta",'Mapa final'!$AA$61="Leve"),CONCATENATE("R10C",'Mapa final'!$O$61),"")</f>
        <v/>
      </c>
      <c r="K25" s="70" t="str">
        <f>IF(AND('Mapa final'!$Y$62="Alta",'Mapa final'!$AA$62="Leve"),CONCATENATE("R10C",'Mapa final'!$O$62),"")</f>
        <v/>
      </c>
      <c r="L25" s="70" t="str">
        <f>IF(AND('Mapa final'!$Y$63="Alta",'Mapa final'!$AA$63="Leve"),CONCATENATE("R10C",'Mapa final'!$O$63),"")</f>
        <v/>
      </c>
      <c r="M25" s="70" t="str">
        <f>IF(AND('Mapa final'!$Y$64="Alta",'Mapa final'!$AA$64="Leve"),CONCATENATE("R10C",'Mapa final'!$O$64),"")</f>
        <v/>
      </c>
      <c r="N25" s="70" t="str">
        <f>IF(AND('Mapa final'!$Y$65="Alta",'Mapa final'!$AA$65="Leve"),CONCATENATE("R10C",'Mapa final'!$O$65),"")</f>
        <v/>
      </c>
      <c r="O25" s="71" t="str">
        <f>IF(AND('Mapa final'!$Y$66="Alta",'Mapa final'!$AA$66="Leve"),CONCATENATE("R10C",'Mapa final'!$O$66),"")</f>
        <v/>
      </c>
      <c r="P25" s="69" t="str">
        <f>IF(AND('Mapa final'!$Y$61="Alta",'Mapa final'!$AA$61="Menor"),CONCATENATE("R10C",'Mapa final'!$O$61),"")</f>
        <v/>
      </c>
      <c r="Q25" s="70" t="str">
        <f>IF(AND('Mapa final'!$Y$62="Alta",'Mapa final'!$AA$62="Menor"),CONCATENATE("R10C",'Mapa final'!$O$62),"")</f>
        <v/>
      </c>
      <c r="R25" s="70" t="str">
        <f>IF(AND('Mapa final'!$Y$63="Alta",'Mapa final'!$AA$63="Menor"),CONCATENATE("R10C",'Mapa final'!$O$63),"")</f>
        <v/>
      </c>
      <c r="S25" s="70" t="str">
        <f>IF(AND('Mapa final'!$Y$64="Alta",'Mapa final'!$AA$64="Menor"),CONCATENATE("R10C",'Mapa final'!$O$64),"")</f>
        <v/>
      </c>
      <c r="T25" s="70" t="str">
        <f>IF(AND('Mapa final'!$Y$65="Alta",'Mapa final'!$AA$65="Menor"),CONCATENATE("R10C",'Mapa final'!$O$65),"")</f>
        <v/>
      </c>
      <c r="U25" s="71" t="str">
        <f>IF(AND('Mapa final'!$Y$66="Alta",'Mapa final'!$AA$66="Menor"),CONCATENATE("R10C",'Mapa final'!$O$66),"")</f>
        <v/>
      </c>
      <c r="V25" s="57" t="str">
        <f>IF(AND('Mapa final'!$Y$61="Alta",'Mapa final'!$AA$61="Moderado"),CONCATENATE("R10C",'Mapa final'!$O$61),"")</f>
        <v/>
      </c>
      <c r="W25" s="58" t="str">
        <f>IF(AND('Mapa final'!$Y$62="Alta",'Mapa final'!$AA$62="Moderado"),CONCATENATE("R10C",'Mapa final'!$O$62),"")</f>
        <v/>
      </c>
      <c r="X25" s="58" t="str">
        <f>IF(AND('Mapa final'!$Y$63="Alta",'Mapa final'!$AA$63="Moderado"),CONCATENATE("R10C",'Mapa final'!$O$63),"")</f>
        <v/>
      </c>
      <c r="Y25" s="58" t="str">
        <f>IF(AND('Mapa final'!$Y$64="Alta",'Mapa final'!$AA$64="Moderado"),CONCATENATE("R10C",'Mapa final'!$O$64),"")</f>
        <v/>
      </c>
      <c r="Z25" s="58" t="str">
        <f>IF(AND('Mapa final'!$Y$65="Alta",'Mapa final'!$AA$65="Moderado"),CONCATENATE("R10C",'Mapa final'!$O$65),"")</f>
        <v/>
      </c>
      <c r="AA25" s="59" t="str">
        <f>IF(AND('Mapa final'!$Y$66="Alta",'Mapa final'!$AA$66="Moderado"),CONCATENATE("R10C",'Mapa final'!$O$66),"")</f>
        <v/>
      </c>
      <c r="AB25" s="57" t="str">
        <f>IF(AND('Mapa final'!$Y$61="Alta",'Mapa final'!$AA$61="Mayor"),CONCATENATE("R10C",'Mapa final'!$O$61),"")</f>
        <v/>
      </c>
      <c r="AC25" s="58" t="str">
        <f>IF(AND('Mapa final'!$Y$62="Alta",'Mapa final'!$AA$62="Mayor"),CONCATENATE("R10C",'Mapa final'!$O$62),"")</f>
        <v/>
      </c>
      <c r="AD25" s="58" t="str">
        <f>IF(AND('Mapa final'!$Y$63="Alta",'Mapa final'!$AA$63="Mayor"),CONCATENATE("R10C",'Mapa final'!$O$63),"")</f>
        <v/>
      </c>
      <c r="AE25" s="58" t="str">
        <f>IF(AND('Mapa final'!$Y$64="Alta",'Mapa final'!$AA$64="Mayor"),CONCATENATE("R10C",'Mapa final'!$O$64),"")</f>
        <v/>
      </c>
      <c r="AF25" s="58" t="str">
        <f>IF(AND('Mapa final'!$Y$65="Alta",'Mapa final'!$AA$65="Mayor"),CONCATENATE("R10C",'Mapa final'!$O$65),"")</f>
        <v/>
      </c>
      <c r="AG25" s="59" t="str">
        <f>IF(AND('Mapa final'!$Y$66="Alta",'Mapa final'!$AA$66="Mayor"),CONCATENATE("R10C",'Mapa final'!$O$66),"")</f>
        <v/>
      </c>
      <c r="AH25" s="60" t="str">
        <f>IF(AND('Mapa final'!$Y$61="Alta",'Mapa final'!$AA$61="Catastrófico"),CONCATENATE("R10C",'Mapa final'!$O$61),"")</f>
        <v/>
      </c>
      <c r="AI25" s="61" t="str">
        <f>IF(AND('Mapa final'!$Y$62="Alta",'Mapa final'!$AA$62="Catastrófico"),CONCATENATE("R10C",'Mapa final'!$O$62),"")</f>
        <v/>
      </c>
      <c r="AJ25" s="61" t="str">
        <f>IF(AND('Mapa final'!$Y$63="Alta",'Mapa final'!$AA$63="Catastrófico"),CONCATENATE("R10C",'Mapa final'!$O$63),"")</f>
        <v/>
      </c>
      <c r="AK25" s="61" t="str">
        <f>IF(AND('Mapa final'!$Y$64="Alta",'Mapa final'!$AA$64="Catastrófico"),CONCATENATE("R10C",'Mapa final'!$O$64),"")</f>
        <v/>
      </c>
      <c r="AL25" s="61" t="str">
        <f>IF(AND('Mapa final'!$Y$65="Alta",'Mapa final'!$AA$65="Catastrófico"),CONCATENATE("R10C",'Mapa final'!$O$65),"")</f>
        <v/>
      </c>
      <c r="AM25" s="62" t="str">
        <f>IF(AND('Mapa final'!$Y$66="Alta",'Mapa final'!$AA$66="Catastrófico"),CONCATENATE("R10C",'Mapa final'!$O$66),"")</f>
        <v/>
      </c>
      <c r="AN25" s="82"/>
      <c r="AO25" s="404"/>
      <c r="AP25" s="405"/>
      <c r="AQ25" s="405"/>
      <c r="AR25" s="405"/>
      <c r="AS25" s="405"/>
      <c r="AT25" s="406"/>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3">
      <c r="A26" s="82"/>
      <c r="B26" s="350"/>
      <c r="C26" s="350"/>
      <c r="D26" s="351"/>
      <c r="E26" s="388" t="s">
        <v>116</v>
      </c>
      <c r="F26" s="389"/>
      <c r="G26" s="389"/>
      <c r="H26" s="389"/>
      <c r="I26" s="390"/>
      <c r="J26" s="63" t="str">
        <f>IF(AND('Mapa final'!$Y$10="Media",'Mapa final'!$AA$10="Leve"),CONCATENATE("R1C",'Mapa final'!$O$10),"")</f>
        <v/>
      </c>
      <c r="K26" s="64" t="str">
        <f>IF(AND('Mapa final'!$Y$11="Media",'Mapa final'!$AA$11="Leve"),CONCATENATE("R1C",'Mapa final'!$O$11),"")</f>
        <v/>
      </c>
      <c r="L26" s="64" t="str">
        <f>IF(AND('Mapa final'!$Y$12="Media",'Mapa final'!$AA$12="Leve"),CONCATENATE("R1C",'Mapa final'!$O$12),"")</f>
        <v/>
      </c>
      <c r="M26" s="64" t="str">
        <f>IF(AND('Mapa final'!$Y$13="Media",'Mapa final'!$AA$13="Leve"),CONCATENATE("R1C",'Mapa final'!$O$13),"")</f>
        <v/>
      </c>
      <c r="N26" s="64" t="str">
        <f>IF(AND('Mapa final'!$Y$14="Media",'Mapa final'!$AA$14="Leve"),CONCATENATE("R1C",'Mapa final'!$O$14),"")</f>
        <v/>
      </c>
      <c r="O26" s="65" t="str">
        <f>IF(AND('Mapa final'!$Y$15="Media",'Mapa final'!$AA$15="Leve"),CONCATENATE("R1C",'Mapa final'!$O$15),"")</f>
        <v/>
      </c>
      <c r="P26" s="63" t="str">
        <f>IF(AND('Mapa final'!$Y$10="Media",'Mapa final'!$AA$10="Menor"),CONCATENATE("R1C",'Mapa final'!$O$10),"")</f>
        <v/>
      </c>
      <c r="Q26" s="64" t="str">
        <f>IF(AND('Mapa final'!$Y$11="Media",'Mapa final'!$AA$11="Menor"),CONCATENATE("R1C",'Mapa final'!$O$11),"")</f>
        <v/>
      </c>
      <c r="R26" s="64" t="str">
        <f>IF(AND('Mapa final'!$Y$12="Media",'Mapa final'!$AA$12="Menor"),CONCATENATE("R1C",'Mapa final'!$O$12),"")</f>
        <v/>
      </c>
      <c r="S26" s="64" t="str">
        <f>IF(AND('Mapa final'!$Y$13="Media",'Mapa final'!$AA$13="Menor"),CONCATENATE("R1C",'Mapa final'!$O$13),"")</f>
        <v/>
      </c>
      <c r="T26" s="64" t="str">
        <f>IF(AND('Mapa final'!$Y$14="Media",'Mapa final'!$AA$14="Menor"),CONCATENATE("R1C",'Mapa final'!$O$14),"")</f>
        <v/>
      </c>
      <c r="U26" s="65" t="str">
        <f>IF(AND('Mapa final'!$Y$15="Media",'Mapa final'!$AA$15="Menor"),CONCATENATE("R1C",'Mapa final'!$O$15),"")</f>
        <v/>
      </c>
      <c r="V26" s="63" t="str">
        <f>IF(AND('Mapa final'!$Y$10="Media",'Mapa final'!$AA$10="Moderado"),CONCATENATE("R1C",'Mapa final'!$O$10),"")</f>
        <v/>
      </c>
      <c r="W26" s="64" t="str">
        <f>IF(AND('Mapa final'!$Y$11="Media",'Mapa final'!$AA$11="Moderado"),CONCATENATE("R1C",'Mapa final'!$O$11),"")</f>
        <v/>
      </c>
      <c r="X26" s="64" t="str">
        <f>IF(AND('Mapa final'!$Y$12="Media",'Mapa final'!$AA$12="Moderado"),CONCATENATE("R1C",'Mapa final'!$O$12),"")</f>
        <v/>
      </c>
      <c r="Y26" s="64" t="str">
        <f>IF(AND('Mapa final'!$Y$13="Media",'Mapa final'!$AA$13="Moderado"),CONCATENATE("R1C",'Mapa final'!$O$13),"")</f>
        <v/>
      </c>
      <c r="Z26" s="64" t="str">
        <f>IF(AND('Mapa final'!$Y$14="Media",'Mapa final'!$AA$14="Moderado"),CONCATENATE("R1C",'Mapa final'!$O$14),"")</f>
        <v/>
      </c>
      <c r="AA26" s="65" t="str">
        <f>IF(AND('Mapa final'!$Y$15="Media",'Mapa final'!$AA$15="Moderado"),CONCATENATE("R1C",'Mapa final'!$O$15),"")</f>
        <v/>
      </c>
      <c r="AB26" s="45" t="str">
        <f>IF(AND('Mapa final'!$Y$10="Media",'Mapa final'!$AA$10="Mayor"),CONCATENATE("R1C",'Mapa final'!$O$10),"")</f>
        <v>R1C1</v>
      </c>
      <c r="AC26" s="46" t="str">
        <f>IF(AND('Mapa final'!$Y$11="Media",'Mapa final'!$AA$11="Mayor"),CONCATENATE("R1C",'Mapa final'!$O$11),"")</f>
        <v/>
      </c>
      <c r="AD26" s="46" t="str">
        <f>IF(AND('Mapa final'!$Y$12="Media",'Mapa final'!$AA$12="Mayor"),CONCATENATE("R1C",'Mapa final'!$O$12),"")</f>
        <v/>
      </c>
      <c r="AE26" s="46" t="str">
        <f>IF(AND('Mapa final'!$Y$13="Media",'Mapa final'!$AA$13="Mayor"),CONCATENATE("R1C",'Mapa final'!$O$13),"")</f>
        <v/>
      </c>
      <c r="AF26" s="46" t="str">
        <f>IF(AND('Mapa final'!$Y$14="Media",'Mapa final'!$AA$14="Mayor"),CONCATENATE("R1C",'Mapa final'!$O$14),"")</f>
        <v/>
      </c>
      <c r="AG26" s="47" t="str">
        <f>IF(AND('Mapa final'!$Y$15="Media",'Mapa final'!$AA$15="Mayor"),CONCATENATE("R1C",'Mapa final'!$O$15),"")</f>
        <v/>
      </c>
      <c r="AH26" s="48" t="str">
        <f>IF(AND('Mapa final'!$Y$10="Media",'Mapa final'!$AA$10="Catastrófico"),CONCATENATE("R1C",'Mapa final'!$O$10),"")</f>
        <v/>
      </c>
      <c r="AI26" s="49" t="str">
        <f>IF(AND('Mapa final'!$Y$11="Media",'Mapa final'!$AA$11="Catastrófico"),CONCATENATE("R1C",'Mapa final'!$O$11),"")</f>
        <v/>
      </c>
      <c r="AJ26" s="49" t="str">
        <f>IF(AND('Mapa final'!$Y$12="Media",'Mapa final'!$AA$12="Catastrófico"),CONCATENATE("R1C",'Mapa final'!$O$12),"")</f>
        <v/>
      </c>
      <c r="AK26" s="49" t="str">
        <f>IF(AND('Mapa final'!$Y$13="Media",'Mapa final'!$AA$13="Catastrófico"),CONCATENATE("R1C",'Mapa final'!$O$13),"")</f>
        <v/>
      </c>
      <c r="AL26" s="49" t="str">
        <f>IF(AND('Mapa final'!$Y$14="Media",'Mapa final'!$AA$14="Catastrófico"),CONCATENATE("R1C",'Mapa final'!$O$14),"")</f>
        <v/>
      </c>
      <c r="AM26" s="50" t="str">
        <f>IF(AND('Mapa final'!$Y$15="Media",'Mapa final'!$AA$15="Catastrófico"),CONCATENATE("R1C",'Mapa final'!$O$15),"")</f>
        <v/>
      </c>
      <c r="AN26" s="82"/>
      <c r="AO26" s="428" t="s">
        <v>80</v>
      </c>
      <c r="AP26" s="429"/>
      <c r="AQ26" s="429"/>
      <c r="AR26" s="429"/>
      <c r="AS26" s="429"/>
      <c r="AT26" s="430"/>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3">
      <c r="A27" s="82"/>
      <c r="B27" s="350"/>
      <c r="C27" s="350"/>
      <c r="D27" s="351"/>
      <c r="E27" s="407"/>
      <c r="F27" s="392"/>
      <c r="G27" s="392"/>
      <c r="H27" s="392"/>
      <c r="I27" s="393"/>
      <c r="J27" s="66" t="str">
        <f>IF(AND('Mapa final'!$Y$16="Media",'Mapa final'!$AA$16="Leve"),CONCATENATE("R2C",'Mapa final'!$O$16),"")</f>
        <v/>
      </c>
      <c r="K27" s="67" t="str">
        <f>IF(AND('Mapa final'!$Y$17="Media",'Mapa final'!$AA$17="Leve"),CONCATENATE("R2C",'Mapa final'!$O$17),"")</f>
        <v/>
      </c>
      <c r="L27" s="67" t="str">
        <f>IF(AND('Mapa final'!$Y$18="Media",'Mapa final'!$AA$18="Leve"),CONCATENATE("R2C",'Mapa final'!$O$18),"")</f>
        <v/>
      </c>
      <c r="M27" s="67" t="str">
        <f>IF(AND('Mapa final'!$Y$19="Media",'Mapa final'!$AA$19="Leve"),CONCATENATE("R2C",'Mapa final'!$O$19),"")</f>
        <v/>
      </c>
      <c r="N27" s="67" t="str">
        <f>IF(AND('Mapa final'!$Y$20="Media",'Mapa final'!$AA$20="Leve"),CONCATENATE("R2C",'Mapa final'!$O$20),"")</f>
        <v/>
      </c>
      <c r="O27" s="68" t="str">
        <f>IF(AND('Mapa final'!$Y$21="Media",'Mapa final'!$AA$21="Leve"),CONCATENATE("R2C",'Mapa final'!$O$21),"")</f>
        <v/>
      </c>
      <c r="P27" s="66" t="str">
        <f>IF(AND('Mapa final'!$Y$16="Media",'Mapa final'!$AA$16="Menor"),CONCATENATE("R2C",'Mapa final'!$O$16),"")</f>
        <v/>
      </c>
      <c r="Q27" s="67" t="str">
        <f>IF(AND('Mapa final'!$Y$17="Media",'Mapa final'!$AA$17="Menor"),CONCATENATE("R2C",'Mapa final'!$O$17),"")</f>
        <v/>
      </c>
      <c r="R27" s="67" t="str">
        <f>IF(AND('Mapa final'!$Y$18="Media",'Mapa final'!$AA$18="Menor"),CONCATENATE("R2C",'Mapa final'!$O$18),"")</f>
        <v/>
      </c>
      <c r="S27" s="67" t="str">
        <f>IF(AND('Mapa final'!$Y$19="Media",'Mapa final'!$AA$19="Menor"),CONCATENATE("R2C",'Mapa final'!$O$19),"")</f>
        <v/>
      </c>
      <c r="T27" s="67" t="str">
        <f>IF(AND('Mapa final'!$Y$20="Media",'Mapa final'!$AA$20="Menor"),CONCATENATE("R2C",'Mapa final'!$O$20),"")</f>
        <v/>
      </c>
      <c r="U27" s="68" t="str">
        <f>IF(AND('Mapa final'!$Y$21="Media",'Mapa final'!$AA$21="Menor"),CONCATENATE("R2C",'Mapa final'!$O$21),"")</f>
        <v/>
      </c>
      <c r="V27" s="66" t="str">
        <f>IF(AND('Mapa final'!$Y$16="Media",'Mapa final'!$AA$16="Moderado"),CONCATENATE("R2C",'Mapa final'!$O$16),"")</f>
        <v/>
      </c>
      <c r="W27" s="67" t="str">
        <f>IF(AND('Mapa final'!$Y$17="Media",'Mapa final'!$AA$17="Moderado"),CONCATENATE("R2C",'Mapa final'!$O$17),"")</f>
        <v/>
      </c>
      <c r="X27" s="67" t="str">
        <f>IF(AND('Mapa final'!$Y$18="Media",'Mapa final'!$AA$18="Moderado"),CONCATENATE("R2C",'Mapa final'!$O$18),"")</f>
        <v/>
      </c>
      <c r="Y27" s="67" t="str">
        <f>IF(AND('Mapa final'!$Y$19="Media",'Mapa final'!$AA$19="Moderado"),CONCATENATE("R2C",'Mapa final'!$O$19),"")</f>
        <v/>
      </c>
      <c r="Z27" s="67" t="str">
        <f>IF(AND('Mapa final'!$Y$20="Media",'Mapa final'!$AA$20="Moderado"),CONCATENATE("R2C",'Mapa final'!$O$20),"")</f>
        <v/>
      </c>
      <c r="AA27" s="68" t="str">
        <f>IF(AND('Mapa final'!$Y$21="Media",'Mapa final'!$AA$21="Moderado"),CONCATENATE("R2C",'Mapa final'!$O$21),"")</f>
        <v/>
      </c>
      <c r="AB27" s="51" t="str">
        <f>IF(AND('Mapa final'!$Y$16="Media",'Mapa final'!$AA$16="Mayor"),CONCATENATE("R2C",'Mapa final'!$O$16),"")</f>
        <v/>
      </c>
      <c r="AC27" s="52" t="str">
        <f>IF(AND('Mapa final'!$Y$17="Media",'Mapa final'!$AA$17="Mayor"),CONCATENATE("R2C",'Mapa final'!$O$17),"")</f>
        <v/>
      </c>
      <c r="AD27" s="52" t="str">
        <f>IF(AND('Mapa final'!$Y$18="Media",'Mapa final'!$AA$18="Mayor"),CONCATENATE("R2C",'Mapa final'!$O$18),"")</f>
        <v/>
      </c>
      <c r="AE27" s="52" t="str">
        <f>IF(AND('Mapa final'!$Y$19="Media",'Mapa final'!$AA$19="Mayor"),CONCATENATE("R2C",'Mapa final'!$O$19),"")</f>
        <v/>
      </c>
      <c r="AF27" s="52" t="str">
        <f>IF(AND('Mapa final'!$Y$20="Media",'Mapa final'!$AA$20="Mayor"),CONCATENATE("R2C",'Mapa final'!$O$20),"")</f>
        <v/>
      </c>
      <c r="AG27" s="53" t="str">
        <f>IF(AND('Mapa final'!$Y$21="Media",'Mapa final'!$AA$21="Mayor"),CONCATENATE("R2C",'Mapa final'!$O$21),"")</f>
        <v/>
      </c>
      <c r="AH27" s="54" t="str">
        <f>IF(AND('Mapa final'!$Y$16="Media",'Mapa final'!$AA$16="Catastrófico"),CONCATENATE("R2C",'Mapa final'!$O$16),"")</f>
        <v/>
      </c>
      <c r="AI27" s="55" t="str">
        <f>IF(AND('Mapa final'!$Y$17="Media",'Mapa final'!$AA$17="Catastrófico"),CONCATENATE("R2C",'Mapa final'!$O$17),"")</f>
        <v/>
      </c>
      <c r="AJ27" s="55" t="str">
        <f>IF(AND('Mapa final'!$Y$18="Media",'Mapa final'!$AA$18="Catastrófico"),CONCATENATE("R2C",'Mapa final'!$O$18),"")</f>
        <v/>
      </c>
      <c r="AK27" s="55" t="str">
        <f>IF(AND('Mapa final'!$Y$19="Media",'Mapa final'!$AA$19="Catastrófico"),CONCATENATE("R2C",'Mapa final'!$O$19),"")</f>
        <v/>
      </c>
      <c r="AL27" s="55" t="str">
        <f>IF(AND('Mapa final'!$Y$20="Media",'Mapa final'!$AA$20="Catastrófico"),CONCATENATE("R2C",'Mapa final'!$O$20),"")</f>
        <v/>
      </c>
      <c r="AM27" s="56" t="str">
        <f>IF(AND('Mapa final'!$Y$21="Media",'Mapa final'!$AA$21="Catastrófico"),CONCATENATE("R2C",'Mapa final'!$O$21),"")</f>
        <v/>
      </c>
      <c r="AN27" s="82"/>
      <c r="AO27" s="431"/>
      <c r="AP27" s="432"/>
      <c r="AQ27" s="432"/>
      <c r="AR27" s="432"/>
      <c r="AS27" s="432"/>
      <c r="AT27" s="433"/>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3">
      <c r="A28" s="82"/>
      <c r="B28" s="350"/>
      <c r="C28" s="350"/>
      <c r="D28" s="351"/>
      <c r="E28" s="391"/>
      <c r="F28" s="392"/>
      <c r="G28" s="392"/>
      <c r="H28" s="392"/>
      <c r="I28" s="393"/>
      <c r="J28" s="66" t="str">
        <f>IF(AND('Mapa final'!$Y$22="Media",'Mapa final'!$AA$22="Leve"),CONCATENATE("R3C",'Mapa final'!$O$22),"")</f>
        <v/>
      </c>
      <c r="K28" s="67" t="str">
        <f>IF(AND('Mapa final'!$Y$23="Media",'Mapa final'!$AA$23="Leve"),CONCATENATE("R3C",'Mapa final'!$O$23),"")</f>
        <v/>
      </c>
      <c r="L28" s="67" t="str">
        <f>IF(AND('Mapa final'!$Y$24="Media",'Mapa final'!$AA$24="Leve"),CONCATENATE("R3C",'Mapa final'!$O$24),"")</f>
        <v/>
      </c>
      <c r="M28" s="67" t="str">
        <f>IF(AND('Mapa final'!$Y$25="Media",'Mapa final'!$AA$25="Leve"),CONCATENATE("R3C",'Mapa final'!$O$25),"")</f>
        <v/>
      </c>
      <c r="N28" s="67" t="str">
        <f>IF(AND('Mapa final'!$Y$26="Media",'Mapa final'!$AA$26="Leve"),CONCATENATE("R3C",'Mapa final'!$O$26),"")</f>
        <v/>
      </c>
      <c r="O28" s="68" t="str">
        <f>IF(AND('Mapa final'!$Y$27="Media",'Mapa final'!$AA$27="Leve"),CONCATENATE("R3C",'Mapa final'!$O$27),"")</f>
        <v/>
      </c>
      <c r="P28" s="66" t="str">
        <f>IF(AND('Mapa final'!$Y$22="Media",'Mapa final'!$AA$22="Menor"),CONCATENATE("R3C",'Mapa final'!$O$22),"")</f>
        <v/>
      </c>
      <c r="Q28" s="67" t="str">
        <f>IF(AND('Mapa final'!$Y$23="Media",'Mapa final'!$AA$23="Menor"),CONCATENATE("R3C",'Mapa final'!$O$23),"")</f>
        <v/>
      </c>
      <c r="R28" s="67" t="str">
        <f>IF(AND('Mapa final'!$Y$24="Media",'Mapa final'!$AA$24="Menor"),CONCATENATE("R3C",'Mapa final'!$O$24),"")</f>
        <v/>
      </c>
      <c r="S28" s="67" t="str">
        <f>IF(AND('Mapa final'!$Y$25="Media",'Mapa final'!$AA$25="Menor"),CONCATENATE("R3C",'Mapa final'!$O$25),"")</f>
        <v/>
      </c>
      <c r="T28" s="67" t="str">
        <f>IF(AND('Mapa final'!$Y$26="Media",'Mapa final'!$AA$26="Menor"),CONCATENATE("R3C",'Mapa final'!$O$26),"")</f>
        <v/>
      </c>
      <c r="U28" s="68" t="str">
        <f>IF(AND('Mapa final'!$Y$27="Media",'Mapa final'!$AA$27="Menor"),CONCATENATE("R3C",'Mapa final'!$O$27),"")</f>
        <v/>
      </c>
      <c r="V28" s="66" t="str">
        <f>IF(AND('Mapa final'!$Y$22="Media",'Mapa final'!$AA$22="Moderado"),CONCATENATE("R3C",'Mapa final'!$O$22),"")</f>
        <v/>
      </c>
      <c r="W28" s="67" t="str">
        <f>IF(AND('Mapa final'!$Y$23="Media",'Mapa final'!$AA$23="Moderado"),CONCATENATE("R3C",'Mapa final'!$O$23),"")</f>
        <v/>
      </c>
      <c r="X28" s="67" t="str">
        <f>IF(AND('Mapa final'!$Y$24="Media",'Mapa final'!$AA$24="Moderado"),CONCATENATE("R3C",'Mapa final'!$O$24),"")</f>
        <v/>
      </c>
      <c r="Y28" s="67" t="str">
        <f>IF(AND('Mapa final'!$Y$25="Media",'Mapa final'!$AA$25="Moderado"),CONCATENATE("R3C",'Mapa final'!$O$25),"")</f>
        <v/>
      </c>
      <c r="Z28" s="67" t="str">
        <f>IF(AND('Mapa final'!$Y$26="Media",'Mapa final'!$AA$26="Moderado"),CONCATENATE("R3C",'Mapa final'!$O$26),"")</f>
        <v/>
      </c>
      <c r="AA28" s="68" t="str">
        <f>IF(AND('Mapa final'!$Y$27="Media",'Mapa final'!$AA$27="Moderado"),CONCATENATE("R3C",'Mapa final'!$O$27),"")</f>
        <v/>
      </c>
      <c r="AB28" s="51" t="str">
        <f>IF(AND('Mapa final'!$Y$22="Media",'Mapa final'!$AA$22="Mayor"),CONCATENATE("R3C",'Mapa final'!$O$22),"")</f>
        <v/>
      </c>
      <c r="AC28" s="52" t="str">
        <f>IF(AND('Mapa final'!$Y$23="Media",'Mapa final'!$AA$23="Mayor"),CONCATENATE("R3C",'Mapa final'!$O$23),"")</f>
        <v/>
      </c>
      <c r="AD28" s="52" t="str">
        <f>IF(AND('Mapa final'!$Y$24="Media",'Mapa final'!$AA$24="Mayor"),CONCATENATE("R3C",'Mapa final'!$O$24),"")</f>
        <v/>
      </c>
      <c r="AE28" s="52" t="str">
        <f>IF(AND('Mapa final'!$Y$25="Media",'Mapa final'!$AA$25="Mayor"),CONCATENATE("R3C",'Mapa final'!$O$25),"")</f>
        <v/>
      </c>
      <c r="AF28" s="52" t="str">
        <f>IF(AND('Mapa final'!$Y$26="Media",'Mapa final'!$AA$26="Mayor"),CONCATENATE("R3C",'Mapa final'!$O$26),"")</f>
        <v/>
      </c>
      <c r="AG28" s="53" t="str">
        <f>IF(AND('Mapa final'!$Y$27="Media",'Mapa final'!$AA$27="Mayor"),CONCATENATE("R3C",'Mapa final'!$O$27),"")</f>
        <v/>
      </c>
      <c r="AH28" s="54" t="str">
        <f>IF(AND('Mapa final'!$Y$22="Media",'Mapa final'!$AA$22="Catastrófico"),CONCATENATE("R3C",'Mapa final'!$O$22),"")</f>
        <v/>
      </c>
      <c r="AI28" s="55" t="str">
        <f>IF(AND('Mapa final'!$Y$23="Media",'Mapa final'!$AA$23="Catastrófico"),CONCATENATE("R3C",'Mapa final'!$O$23),"")</f>
        <v/>
      </c>
      <c r="AJ28" s="55" t="str">
        <f>IF(AND('Mapa final'!$Y$24="Media",'Mapa final'!$AA$24="Catastrófico"),CONCATENATE("R3C",'Mapa final'!$O$24),"")</f>
        <v/>
      </c>
      <c r="AK28" s="55" t="str">
        <f>IF(AND('Mapa final'!$Y$25="Media",'Mapa final'!$AA$25="Catastrófico"),CONCATENATE("R3C",'Mapa final'!$O$25),"")</f>
        <v/>
      </c>
      <c r="AL28" s="55" t="str">
        <f>IF(AND('Mapa final'!$Y$26="Media",'Mapa final'!$AA$26="Catastrófico"),CONCATENATE("R3C",'Mapa final'!$O$26),"")</f>
        <v/>
      </c>
      <c r="AM28" s="56" t="str">
        <f>IF(AND('Mapa final'!$Y$27="Media",'Mapa final'!$AA$27="Catastrófico"),CONCATENATE("R3C",'Mapa final'!$O$27),"")</f>
        <v/>
      </c>
      <c r="AN28" s="82"/>
      <c r="AO28" s="431"/>
      <c r="AP28" s="432"/>
      <c r="AQ28" s="432"/>
      <c r="AR28" s="432"/>
      <c r="AS28" s="432"/>
      <c r="AT28" s="433"/>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3">
      <c r="A29" s="82"/>
      <c r="B29" s="350"/>
      <c r="C29" s="350"/>
      <c r="D29" s="351"/>
      <c r="E29" s="391"/>
      <c r="F29" s="392"/>
      <c r="G29" s="392"/>
      <c r="H29" s="392"/>
      <c r="I29" s="393"/>
      <c r="J29" s="66" t="str">
        <f>IF(AND('Mapa final'!$Y$28="Media",'Mapa final'!$AA$28="Leve"),CONCATENATE("R4C",'Mapa final'!$O$28),"")</f>
        <v/>
      </c>
      <c r="K29" s="67" t="str">
        <f>IF(AND('Mapa final'!$Y$29="Media",'Mapa final'!$AA$29="Leve"),CONCATENATE("R4C",'Mapa final'!$O$29),"")</f>
        <v/>
      </c>
      <c r="L29" s="67" t="str">
        <f>IF(AND('Mapa final'!$Y$30="Media",'Mapa final'!$AA$30="Leve"),CONCATENATE("R4C",'Mapa final'!$O$30),"")</f>
        <v/>
      </c>
      <c r="M29" s="67" t="str">
        <f>IF(AND('Mapa final'!$Y$31="Media",'Mapa final'!$AA$31="Leve"),CONCATENATE("R4C",'Mapa final'!$O$31),"")</f>
        <v/>
      </c>
      <c r="N29" s="67" t="str">
        <f>IF(AND('Mapa final'!$Y$32="Media",'Mapa final'!$AA$32="Leve"),CONCATENATE("R4C",'Mapa final'!$O$32),"")</f>
        <v/>
      </c>
      <c r="O29" s="68" t="str">
        <f>IF(AND('Mapa final'!$Y$33="Media",'Mapa final'!$AA$33="Leve"),CONCATENATE("R4C",'Mapa final'!$O$33),"")</f>
        <v/>
      </c>
      <c r="P29" s="66" t="str">
        <f>IF(AND('Mapa final'!$Y$28="Media",'Mapa final'!$AA$28="Menor"),CONCATENATE("R4C",'Mapa final'!$O$28),"")</f>
        <v/>
      </c>
      <c r="Q29" s="67" t="str">
        <f>IF(AND('Mapa final'!$Y$29="Media",'Mapa final'!$AA$29="Menor"),CONCATENATE("R4C",'Mapa final'!$O$29),"")</f>
        <v/>
      </c>
      <c r="R29" s="67" t="str">
        <f>IF(AND('Mapa final'!$Y$30="Media",'Mapa final'!$AA$30="Menor"),CONCATENATE("R4C",'Mapa final'!$O$30),"")</f>
        <v/>
      </c>
      <c r="S29" s="67" t="str">
        <f>IF(AND('Mapa final'!$Y$31="Media",'Mapa final'!$AA$31="Menor"),CONCATENATE("R4C",'Mapa final'!$O$31),"")</f>
        <v/>
      </c>
      <c r="T29" s="67" t="str">
        <f>IF(AND('Mapa final'!$Y$32="Media",'Mapa final'!$AA$32="Menor"),CONCATENATE("R4C",'Mapa final'!$O$32),"")</f>
        <v/>
      </c>
      <c r="U29" s="68" t="str">
        <f>IF(AND('Mapa final'!$Y$33="Media",'Mapa final'!$AA$33="Menor"),CONCATENATE("R4C",'Mapa final'!$O$33),"")</f>
        <v/>
      </c>
      <c r="V29" s="66" t="str">
        <f>IF(AND('Mapa final'!$Y$28="Media",'Mapa final'!$AA$28="Moderado"),CONCATENATE("R4C",'Mapa final'!$O$28),"")</f>
        <v/>
      </c>
      <c r="W29" s="67" t="str">
        <f>IF(AND('Mapa final'!$Y$29="Media",'Mapa final'!$AA$29="Moderado"),CONCATENATE("R4C",'Mapa final'!$O$29),"")</f>
        <v/>
      </c>
      <c r="X29" s="67" t="str">
        <f>IF(AND('Mapa final'!$Y$30="Media",'Mapa final'!$AA$30="Moderado"),CONCATENATE("R4C",'Mapa final'!$O$30),"")</f>
        <v/>
      </c>
      <c r="Y29" s="67" t="str">
        <f>IF(AND('Mapa final'!$Y$31="Media",'Mapa final'!$AA$31="Moderado"),CONCATENATE("R4C",'Mapa final'!$O$31),"")</f>
        <v/>
      </c>
      <c r="Z29" s="67" t="str">
        <f>IF(AND('Mapa final'!$Y$32="Media",'Mapa final'!$AA$32="Moderado"),CONCATENATE("R4C",'Mapa final'!$O$32),"")</f>
        <v/>
      </c>
      <c r="AA29" s="68" t="str">
        <f>IF(AND('Mapa final'!$Y$33="Media",'Mapa final'!$AA$33="Moderado"),CONCATENATE("R4C",'Mapa final'!$O$33),"")</f>
        <v/>
      </c>
      <c r="AB29" s="51" t="str">
        <f>IF(AND('Mapa final'!$Y$28="Media",'Mapa final'!$AA$28="Mayor"),CONCATENATE("R4C",'Mapa final'!$O$28),"")</f>
        <v/>
      </c>
      <c r="AC29" s="52" t="str">
        <f>IF(AND('Mapa final'!$Y$29="Media",'Mapa final'!$AA$29="Mayor"),CONCATENATE("R4C",'Mapa final'!$O$29),"")</f>
        <v/>
      </c>
      <c r="AD29" s="52" t="str">
        <f>IF(AND('Mapa final'!$Y$30="Media",'Mapa final'!$AA$30="Mayor"),CONCATENATE("R4C",'Mapa final'!$O$30),"")</f>
        <v/>
      </c>
      <c r="AE29" s="52" t="str">
        <f>IF(AND('Mapa final'!$Y$31="Media",'Mapa final'!$AA$31="Mayor"),CONCATENATE("R4C",'Mapa final'!$O$31),"")</f>
        <v/>
      </c>
      <c r="AF29" s="52" t="str">
        <f>IF(AND('Mapa final'!$Y$32="Media",'Mapa final'!$AA$32="Mayor"),CONCATENATE("R4C",'Mapa final'!$O$32),"")</f>
        <v/>
      </c>
      <c r="AG29" s="53" t="str">
        <f>IF(AND('Mapa final'!$Y$33="Media",'Mapa final'!$AA$33="Mayor"),CONCATENATE("R4C",'Mapa final'!$O$33),"")</f>
        <v/>
      </c>
      <c r="AH29" s="54" t="str">
        <f>IF(AND('Mapa final'!$Y$28="Media",'Mapa final'!$AA$28="Catastrófico"),CONCATENATE("R4C",'Mapa final'!$O$28),"")</f>
        <v/>
      </c>
      <c r="AI29" s="55" t="str">
        <f>IF(AND('Mapa final'!$Y$29="Media",'Mapa final'!$AA$29="Catastrófico"),CONCATENATE("R4C",'Mapa final'!$O$29),"")</f>
        <v/>
      </c>
      <c r="AJ29" s="55" t="str">
        <f>IF(AND('Mapa final'!$Y$30="Media",'Mapa final'!$AA$30="Catastrófico"),CONCATENATE("R4C",'Mapa final'!$O$30),"")</f>
        <v/>
      </c>
      <c r="AK29" s="55" t="str">
        <f>IF(AND('Mapa final'!$Y$31="Media",'Mapa final'!$AA$31="Catastrófico"),CONCATENATE("R4C",'Mapa final'!$O$31),"")</f>
        <v/>
      </c>
      <c r="AL29" s="55" t="str">
        <f>IF(AND('Mapa final'!$Y$32="Media",'Mapa final'!$AA$32="Catastrófico"),CONCATENATE("R4C",'Mapa final'!$O$32),"")</f>
        <v/>
      </c>
      <c r="AM29" s="56" t="str">
        <f>IF(AND('Mapa final'!$Y$33="Media",'Mapa final'!$AA$33="Catastrófico"),CONCATENATE("R4C",'Mapa final'!$O$33),"")</f>
        <v/>
      </c>
      <c r="AN29" s="82"/>
      <c r="AO29" s="431"/>
      <c r="AP29" s="432"/>
      <c r="AQ29" s="432"/>
      <c r="AR29" s="432"/>
      <c r="AS29" s="432"/>
      <c r="AT29" s="433"/>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3">
      <c r="A30" s="82"/>
      <c r="B30" s="350"/>
      <c r="C30" s="350"/>
      <c r="D30" s="351"/>
      <c r="E30" s="391"/>
      <c r="F30" s="392"/>
      <c r="G30" s="392"/>
      <c r="H30" s="392"/>
      <c r="I30" s="393"/>
      <c r="J30" s="66" t="str">
        <f>IF(AND('Mapa final'!$Y$34="Media",'Mapa final'!$AA$34="Leve"),CONCATENATE("R5C",'Mapa final'!$O$34),"")</f>
        <v/>
      </c>
      <c r="K30" s="67" t="e">
        <f>IF(AND('Mapa final'!#REF!="Media",'Mapa final'!#REF!="Leve"),CONCATENATE("R5C",'Mapa final'!#REF!),"")</f>
        <v>#REF!</v>
      </c>
      <c r="L30" s="67" t="e">
        <f>IF(AND('Mapa final'!#REF!="Media",'Mapa final'!#REF!="Leve"),CONCATENATE("R5C",'Mapa final'!#REF!),"")</f>
        <v>#REF!</v>
      </c>
      <c r="M30" s="67" t="e">
        <f>IF(AND('Mapa final'!#REF!="Media",'Mapa final'!#REF!="Leve"),CONCATENATE("R5C",'Mapa final'!#REF!),"")</f>
        <v>#REF!</v>
      </c>
      <c r="N30" s="67" t="str">
        <f>IF(AND('Mapa final'!$Y$35="Media",'Mapa final'!$AA$35="Leve"),CONCATENATE("R5C",'Mapa final'!$O$35),"")</f>
        <v/>
      </c>
      <c r="O30" s="68" t="str">
        <f>IF(AND('Mapa final'!$Y$36="Media",'Mapa final'!$AA$36="Leve"),CONCATENATE("R5C",'Mapa final'!$O$36),"")</f>
        <v/>
      </c>
      <c r="P30" s="66" t="str">
        <f>IF(AND('Mapa final'!$Y$34="Media",'Mapa final'!$AA$34="Menor"),CONCATENATE("R5C",'Mapa final'!$O$34),"")</f>
        <v/>
      </c>
      <c r="Q30" s="67" t="e">
        <f>IF(AND('Mapa final'!#REF!="Media",'Mapa final'!#REF!="Menor"),CONCATENATE("R5C",'Mapa final'!#REF!),"")</f>
        <v>#REF!</v>
      </c>
      <c r="R30" s="67" t="e">
        <f>IF(AND('Mapa final'!#REF!="Media",'Mapa final'!#REF!="Menor"),CONCATENATE("R5C",'Mapa final'!#REF!),"")</f>
        <v>#REF!</v>
      </c>
      <c r="S30" s="67" t="e">
        <f>IF(AND('Mapa final'!#REF!="Media",'Mapa final'!#REF!="Menor"),CONCATENATE("R5C",'Mapa final'!#REF!),"")</f>
        <v>#REF!</v>
      </c>
      <c r="T30" s="67" t="str">
        <f>IF(AND('Mapa final'!$Y$35="Media",'Mapa final'!$AA$35="Menor"),CONCATENATE("R5C",'Mapa final'!$O$35),"")</f>
        <v/>
      </c>
      <c r="U30" s="68" t="str">
        <f>IF(AND('Mapa final'!$Y$36="Media",'Mapa final'!$AA$36="Menor"),CONCATENATE("R5C",'Mapa final'!$O$36),"")</f>
        <v/>
      </c>
      <c r="V30" s="66" t="str">
        <f>IF(AND('Mapa final'!$Y$34="Media",'Mapa final'!$AA$34="Moderado"),CONCATENATE("R5C",'Mapa final'!$O$34),"")</f>
        <v/>
      </c>
      <c r="W30" s="67" t="e">
        <f>IF(AND('Mapa final'!#REF!="Media",'Mapa final'!#REF!="Moderado"),CONCATENATE("R5C",'Mapa final'!#REF!),"")</f>
        <v>#REF!</v>
      </c>
      <c r="X30" s="67" t="e">
        <f>IF(AND('Mapa final'!#REF!="Media",'Mapa final'!#REF!="Moderado"),CONCATENATE("R5C",'Mapa final'!#REF!),"")</f>
        <v>#REF!</v>
      </c>
      <c r="Y30" s="67" t="e">
        <f>IF(AND('Mapa final'!#REF!="Media",'Mapa final'!#REF!="Moderado"),CONCATENATE("R5C",'Mapa final'!#REF!),"")</f>
        <v>#REF!</v>
      </c>
      <c r="Z30" s="67" t="str">
        <f>IF(AND('Mapa final'!$Y$35="Media",'Mapa final'!$AA$35="Moderado"),CONCATENATE("R5C",'Mapa final'!$O$35),"")</f>
        <v/>
      </c>
      <c r="AA30" s="68" t="str">
        <f>IF(AND('Mapa final'!$Y$36="Media",'Mapa final'!$AA$36="Moderado"),CONCATENATE("R5C",'Mapa final'!$O$36),"")</f>
        <v/>
      </c>
      <c r="AB30" s="51" t="str">
        <f>IF(AND('Mapa final'!$Y$34="Media",'Mapa final'!$AA$34="Mayor"),CONCATENATE("R5C",'Mapa final'!$O$34),"")</f>
        <v/>
      </c>
      <c r="AC30" s="52" t="e">
        <f>IF(AND('Mapa final'!#REF!="Media",'Mapa final'!#REF!="Mayor"),CONCATENATE("R5C",'Mapa final'!#REF!),"")</f>
        <v>#REF!</v>
      </c>
      <c r="AD30" s="52" t="e">
        <f>IF(AND('Mapa final'!#REF!="Media",'Mapa final'!#REF!="Mayor"),CONCATENATE("R5C",'Mapa final'!#REF!),"")</f>
        <v>#REF!</v>
      </c>
      <c r="AE30" s="52" t="e">
        <f>IF(AND('Mapa final'!#REF!="Media",'Mapa final'!#REF!="Mayor"),CONCATENATE("R5C",'Mapa final'!#REF!),"")</f>
        <v>#REF!</v>
      </c>
      <c r="AF30" s="52" t="str">
        <f>IF(AND('Mapa final'!$Y$35="Media",'Mapa final'!$AA$35="Mayor"),CONCATENATE("R5C",'Mapa final'!$O$35),"")</f>
        <v/>
      </c>
      <c r="AG30" s="53" t="str">
        <f>IF(AND('Mapa final'!$Y$36="Media",'Mapa final'!$AA$36="Mayor"),CONCATENATE("R5C",'Mapa final'!$O$36),"")</f>
        <v/>
      </c>
      <c r="AH30" s="54" t="str">
        <f>IF(AND('Mapa final'!$Y$34="Media",'Mapa final'!$AA$34="Catastrófico"),CONCATENATE("R5C",'Mapa final'!$O$34),"")</f>
        <v/>
      </c>
      <c r="AI30" s="55" t="e">
        <f>IF(AND('Mapa final'!#REF!="Media",'Mapa final'!#REF!="Catastrófico"),CONCATENATE("R5C",'Mapa final'!#REF!),"")</f>
        <v>#REF!</v>
      </c>
      <c r="AJ30" s="55" t="e">
        <f>IF(AND('Mapa final'!#REF!="Media",'Mapa final'!#REF!="Catastrófico"),CONCATENATE("R5C",'Mapa final'!#REF!),"")</f>
        <v>#REF!</v>
      </c>
      <c r="AK30" s="55" t="e">
        <f>IF(AND('Mapa final'!#REF!="Media",'Mapa final'!#REF!="Catastrófico"),CONCATENATE("R5C",'Mapa final'!#REF!),"")</f>
        <v>#REF!</v>
      </c>
      <c r="AL30" s="55" t="str">
        <f>IF(AND('Mapa final'!$Y$35="Media",'Mapa final'!$AA$35="Catastrófico"),CONCATENATE("R5C",'Mapa final'!$O$35),"")</f>
        <v/>
      </c>
      <c r="AM30" s="56" t="str">
        <f>IF(AND('Mapa final'!$Y$36="Media",'Mapa final'!$AA$36="Catastrófico"),CONCATENATE("R5C",'Mapa final'!$O$36),"")</f>
        <v/>
      </c>
      <c r="AN30" s="82"/>
      <c r="AO30" s="431"/>
      <c r="AP30" s="432"/>
      <c r="AQ30" s="432"/>
      <c r="AR30" s="432"/>
      <c r="AS30" s="432"/>
      <c r="AT30" s="433"/>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3">
      <c r="A31" s="82"/>
      <c r="B31" s="350"/>
      <c r="C31" s="350"/>
      <c r="D31" s="351"/>
      <c r="E31" s="391"/>
      <c r="F31" s="392"/>
      <c r="G31" s="392"/>
      <c r="H31" s="392"/>
      <c r="I31" s="393"/>
      <c r="J31" s="66" t="str">
        <f>IF(AND('Mapa final'!$Y$37="Media",'Mapa final'!$AA$37="Leve"),CONCATENATE("R6C",'Mapa final'!$O$37),"")</f>
        <v/>
      </c>
      <c r="K31" s="67" t="str">
        <f>IF(AND('Mapa final'!$Y$38="Media",'Mapa final'!$AA$38="Leve"),CONCATENATE("R6C",'Mapa final'!$O$38),"")</f>
        <v/>
      </c>
      <c r="L31" s="67" t="str">
        <f>IF(AND('Mapa final'!$Y$39="Media",'Mapa final'!$AA$39="Leve"),CONCATENATE("R6C",'Mapa final'!$O$39),"")</f>
        <v/>
      </c>
      <c r="M31" s="67" t="str">
        <f>IF(AND('Mapa final'!$Y$40="Media",'Mapa final'!$AA$40="Leve"),CONCATENATE("R6C",'Mapa final'!$O$40),"")</f>
        <v/>
      </c>
      <c r="N31" s="67" t="str">
        <f>IF(AND('Mapa final'!$Y$41="Media",'Mapa final'!$AA$41="Leve"),CONCATENATE("R6C",'Mapa final'!$O$41),"")</f>
        <v/>
      </c>
      <c r="O31" s="68" t="str">
        <f>IF(AND('Mapa final'!$Y$42="Media",'Mapa final'!$AA$42="Leve"),CONCATENATE("R6C",'Mapa final'!$O$42),"")</f>
        <v/>
      </c>
      <c r="P31" s="66" t="str">
        <f>IF(AND('Mapa final'!$Y$37="Media",'Mapa final'!$AA$37="Menor"),CONCATENATE("R6C",'Mapa final'!$O$37),"")</f>
        <v/>
      </c>
      <c r="Q31" s="67" t="str">
        <f>IF(AND('Mapa final'!$Y$38="Media",'Mapa final'!$AA$38="Menor"),CONCATENATE("R6C",'Mapa final'!$O$38),"")</f>
        <v/>
      </c>
      <c r="R31" s="67" t="str">
        <f>IF(AND('Mapa final'!$Y$39="Media",'Mapa final'!$AA$39="Menor"),CONCATENATE("R6C",'Mapa final'!$O$39),"")</f>
        <v/>
      </c>
      <c r="S31" s="67" t="str">
        <f>IF(AND('Mapa final'!$Y$40="Media",'Mapa final'!$AA$40="Menor"),CONCATENATE("R6C",'Mapa final'!$O$40),"")</f>
        <v/>
      </c>
      <c r="T31" s="67" t="str">
        <f>IF(AND('Mapa final'!$Y$41="Media",'Mapa final'!$AA$41="Menor"),CONCATENATE("R6C",'Mapa final'!$O$41),"")</f>
        <v/>
      </c>
      <c r="U31" s="68" t="str">
        <f>IF(AND('Mapa final'!$Y$42="Media",'Mapa final'!$AA$42="Menor"),CONCATENATE("R6C",'Mapa final'!$O$42),"")</f>
        <v/>
      </c>
      <c r="V31" s="66" t="str">
        <f>IF(AND('Mapa final'!$Y$37="Media",'Mapa final'!$AA$37="Moderado"),CONCATENATE("R6C",'Mapa final'!$O$37),"")</f>
        <v/>
      </c>
      <c r="W31" s="67" t="str">
        <f>IF(AND('Mapa final'!$Y$38="Media",'Mapa final'!$AA$38="Moderado"),CONCATENATE("R6C",'Mapa final'!$O$38),"")</f>
        <v/>
      </c>
      <c r="X31" s="67" t="str">
        <f>IF(AND('Mapa final'!$Y$39="Media",'Mapa final'!$AA$39="Moderado"),CONCATENATE("R6C",'Mapa final'!$O$39),"")</f>
        <v/>
      </c>
      <c r="Y31" s="67" t="str">
        <f>IF(AND('Mapa final'!$Y$40="Media",'Mapa final'!$AA$40="Moderado"),CONCATENATE("R6C",'Mapa final'!$O$40),"")</f>
        <v/>
      </c>
      <c r="Z31" s="67" t="str">
        <f>IF(AND('Mapa final'!$Y$41="Media",'Mapa final'!$AA$41="Moderado"),CONCATENATE("R6C",'Mapa final'!$O$41),"")</f>
        <v/>
      </c>
      <c r="AA31" s="68" t="str">
        <f>IF(AND('Mapa final'!$Y$42="Media",'Mapa final'!$AA$42="Moderado"),CONCATENATE("R6C",'Mapa final'!$O$42),"")</f>
        <v/>
      </c>
      <c r="AB31" s="51" t="str">
        <f>IF(AND('Mapa final'!$Y$37="Media",'Mapa final'!$AA$37="Mayor"),CONCATENATE("R6C",'Mapa final'!$O$37),"")</f>
        <v/>
      </c>
      <c r="AC31" s="52" t="str">
        <f>IF(AND('Mapa final'!$Y$38="Media",'Mapa final'!$AA$38="Mayor"),CONCATENATE("R6C",'Mapa final'!$O$38),"")</f>
        <v/>
      </c>
      <c r="AD31" s="52" t="str">
        <f>IF(AND('Mapa final'!$Y$39="Media",'Mapa final'!$AA$39="Mayor"),CONCATENATE("R6C",'Mapa final'!$O$39),"")</f>
        <v/>
      </c>
      <c r="AE31" s="52" t="str">
        <f>IF(AND('Mapa final'!$Y$40="Media",'Mapa final'!$AA$40="Mayor"),CONCATENATE("R6C",'Mapa final'!$O$40),"")</f>
        <v/>
      </c>
      <c r="AF31" s="52" t="str">
        <f>IF(AND('Mapa final'!$Y$41="Media",'Mapa final'!$AA$41="Mayor"),CONCATENATE("R6C",'Mapa final'!$O$41),"")</f>
        <v/>
      </c>
      <c r="AG31" s="53" t="str">
        <f>IF(AND('Mapa final'!$Y$42="Media",'Mapa final'!$AA$42="Mayor"),CONCATENATE("R6C",'Mapa final'!$O$42),"")</f>
        <v/>
      </c>
      <c r="AH31" s="54" t="str">
        <f>IF(AND('Mapa final'!$Y$37="Media",'Mapa final'!$AA$37="Catastrófico"),CONCATENATE("R6C",'Mapa final'!$O$37),"")</f>
        <v/>
      </c>
      <c r="AI31" s="55" t="str">
        <f>IF(AND('Mapa final'!$Y$38="Media",'Mapa final'!$AA$38="Catastrófico"),CONCATENATE("R6C",'Mapa final'!$O$38),"")</f>
        <v/>
      </c>
      <c r="AJ31" s="55" t="str">
        <f>IF(AND('Mapa final'!$Y$39="Media",'Mapa final'!$AA$39="Catastrófico"),CONCATENATE("R6C",'Mapa final'!$O$39),"")</f>
        <v/>
      </c>
      <c r="AK31" s="55" t="str">
        <f>IF(AND('Mapa final'!$Y$40="Media",'Mapa final'!$AA$40="Catastrófico"),CONCATENATE("R6C",'Mapa final'!$O$40),"")</f>
        <v/>
      </c>
      <c r="AL31" s="55" t="str">
        <f>IF(AND('Mapa final'!$Y$41="Media",'Mapa final'!$AA$41="Catastrófico"),CONCATENATE("R6C",'Mapa final'!$O$41),"")</f>
        <v/>
      </c>
      <c r="AM31" s="56" t="str">
        <f>IF(AND('Mapa final'!$Y$42="Media",'Mapa final'!$AA$42="Catastrófico"),CONCATENATE("R6C",'Mapa final'!$O$42),"")</f>
        <v/>
      </c>
      <c r="AN31" s="82"/>
      <c r="AO31" s="431"/>
      <c r="AP31" s="432"/>
      <c r="AQ31" s="432"/>
      <c r="AR31" s="432"/>
      <c r="AS31" s="432"/>
      <c r="AT31" s="433"/>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3">
      <c r="A32" s="82"/>
      <c r="B32" s="350"/>
      <c r="C32" s="350"/>
      <c r="D32" s="351"/>
      <c r="E32" s="391"/>
      <c r="F32" s="392"/>
      <c r="G32" s="392"/>
      <c r="H32" s="392"/>
      <c r="I32" s="393"/>
      <c r="J32" s="66" t="str">
        <f>IF(AND('Mapa final'!$Y$43="Media",'Mapa final'!$AA$43="Leve"),CONCATENATE("R7C",'Mapa final'!$O$43),"")</f>
        <v/>
      </c>
      <c r="K32" s="67" t="str">
        <f>IF(AND('Mapa final'!$Y$44="Media",'Mapa final'!$AA$44="Leve"),CONCATENATE("R7C",'Mapa final'!$O$44),"")</f>
        <v/>
      </c>
      <c r="L32" s="67" t="str">
        <f>IF(AND('Mapa final'!$Y$45="Media",'Mapa final'!$AA$45="Leve"),CONCATENATE("R7C",'Mapa final'!$O$45),"")</f>
        <v/>
      </c>
      <c r="M32" s="67" t="str">
        <f>IF(AND('Mapa final'!$Y$46="Media",'Mapa final'!$AA$46="Leve"),CONCATENATE("R7C",'Mapa final'!$O$46),"")</f>
        <v/>
      </c>
      <c r="N32" s="67" t="str">
        <f>IF(AND('Mapa final'!$Y$47="Media",'Mapa final'!$AA$47="Leve"),CONCATENATE("R7C",'Mapa final'!$O$47),"")</f>
        <v/>
      </c>
      <c r="O32" s="68" t="str">
        <f>IF(AND('Mapa final'!$Y$48="Media",'Mapa final'!$AA$48="Leve"),CONCATENATE("R7C",'Mapa final'!$O$48),"")</f>
        <v/>
      </c>
      <c r="P32" s="66" t="str">
        <f>IF(AND('Mapa final'!$Y$43="Media",'Mapa final'!$AA$43="Menor"),CONCATENATE("R7C",'Mapa final'!$O$43),"")</f>
        <v/>
      </c>
      <c r="Q32" s="67" t="str">
        <f>IF(AND('Mapa final'!$Y$44="Media",'Mapa final'!$AA$44="Menor"),CONCATENATE("R7C",'Mapa final'!$O$44),"")</f>
        <v/>
      </c>
      <c r="R32" s="67" t="str">
        <f>IF(AND('Mapa final'!$Y$45="Media",'Mapa final'!$AA$45="Menor"),CONCATENATE("R7C",'Mapa final'!$O$45),"")</f>
        <v/>
      </c>
      <c r="S32" s="67" t="str">
        <f>IF(AND('Mapa final'!$Y$46="Media",'Mapa final'!$AA$46="Menor"),CONCATENATE("R7C",'Mapa final'!$O$46),"")</f>
        <v/>
      </c>
      <c r="T32" s="67" t="str">
        <f>IF(AND('Mapa final'!$Y$47="Media",'Mapa final'!$AA$47="Menor"),CONCATENATE("R7C",'Mapa final'!$O$47),"")</f>
        <v/>
      </c>
      <c r="U32" s="68" t="str">
        <f>IF(AND('Mapa final'!$Y$48="Media",'Mapa final'!$AA$48="Menor"),CONCATENATE("R7C",'Mapa final'!$O$48),"")</f>
        <v/>
      </c>
      <c r="V32" s="66" t="str">
        <f>IF(AND('Mapa final'!$Y$43="Media",'Mapa final'!$AA$43="Moderado"),CONCATENATE("R7C",'Mapa final'!$O$43),"")</f>
        <v/>
      </c>
      <c r="W32" s="67" t="str">
        <f>IF(AND('Mapa final'!$Y$44="Media",'Mapa final'!$AA$44="Moderado"),CONCATENATE("R7C",'Mapa final'!$O$44),"")</f>
        <v/>
      </c>
      <c r="X32" s="67" t="str">
        <f>IF(AND('Mapa final'!$Y$45="Media",'Mapa final'!$AA$45="Moderado"),CONCATENATE("R7C",'Mapa final'!$O$45),"")</f>
        <v/>
      </c>
      <c r="Y32" s="67" t="str">
        <f>IF(AND('Mapa final'!$Y$46="Media",'Mapa final'!$AA$46="Moderado"),CONCATENATE("R7C",'Mapa final'!$O$46),"")</f>
        <v/>
      </c>
      <c r="Z32" s="67" t="str">
        <f>IF(AND('Mapa final'!$Y$47="Media",'Mapa final'!$AA$47="Moderado"),CONCATENATE("R7C",'Mapa final'!$O$47),"")</f>
        <v/>
      </c>
      <c r="AA32" s="68" t="str">
        <f>IF(AND('Mapa final'!$Y$48="Media",'Mapa final'!$AA$48="Moderado"),CONCATENATE("R7C",'Mapa final'!$O$48),"")</f>
        <v/>
      </c>
      <c r="AB32" s="51" t="str">
        <f>IF(AND('Mapa final'!$Y$43="Media",'Mapa final'!$AA$43="Mayor"),CONCATENATE("R7C",'Mapa final'!$O$43),"")</f>
        <v/>
      </c>
      <c r="AC32" s="52" t="str">
        <f>IF(AND('Mapa final'!$Y$44="Media",'Mapa final'!$AA$44="Mayor"),CONCATENATE("R7C",'Mapa final'!$O$44),"")</f>
        <v/>
      </c>
      <c r="AD32" s="52" t="str">
        <f>IF(AND('Mapa final'!$Y$45="Media",'Mapa final'!$AA$45="Mayor"),CONCATENATE("R7C",'Mapa final'!$O$45),"")</f>
        <v/>
      </c>
      <c r="AE32" s="52" t="str">
        <f>IF(AND('Mapa final'!$Y$46="Media",'Mapa final'!$AA$46="Mayor"),CONCATENATE("R7C",'Mapa final'!$O$46),"")</f>
        <v/>
      </c>
      <c r="AF32" s="52" t="str">
        <f>IF(AND('Mapa final'!$Y$47="Media",'Mapa final'!$AA$47="Mayor"),CONCATENATE("R7C",'Mapa final'!$O$47),"")</f>
        <v/>
      </c>
      <c r="AG32" s="53" t="str">
        <f>IF(AND('Mapa final'!$Y$48="Media",'Mapa final'!$AA$48="Mayor"),CONCATENATE("R7C",'Mapa final'!$O$48),"")</f>
        <v/>
      </c>
      <c r="AH32" s="54" t="str">
        <f>IF(AND('Mapa final'!$Y$43="Media",'Mapa final'!$AA$43="Catastrófico"),CONCATENATE("R7C",'Mapa final'!$O$43),"")</f>
        <v/>
      </c>
      <c r="AI32" s="55" t="str">
        <f>IF(AND('Mapa final'!$Y$44="Media",'Mapa final'!$AA$44="Catastrófico"),CONCATENATE("R7C",'Mapa final'!$O$44),"")</f>
        <v/>
      </c>
      <c r="AJ32" s="55" t="str">
        <f>IF(AND('Mapa final'!$Y$45="Media",'Mapa final'!$AA$45="Catastrófico"),CONCATENATE("R7C",'Mapa final'!$O$45),"")</f>
        <v/>
      </c>
      <c r="AK32" s="55" t="str">
        <f>IF(AND('Mapa final'!$Y$46="Media",'Mapa final'!$AA$46="Catastrófico"),CONCATENATE("R7C",'Mapa final'!$O$46),"")</f>
        <v/>
      </c>
      <c r="AL32" s="55" t="str">
        <f>IF(AND('Mapa final'!$Y$47="Media",'Mapa final'!$AA$47="Catastrófico"),CONCATENATE("R7C",'Mapa final'!$O$47),"")</f>
        <v/>
      </c>
      <c r="AM32" s="56" t="str">
        <f>IF(AND('Mapa final'!$Y$48="Media",'Mapa final'!$AA$48="Catastrófico"),CONCATENATE("R7C",'Mapa final'!$O$48),"")</f>
        <v/>
      </c>
      <c r="AN32" s="82"/>
      <c r="AO32" s="431"/>
      <c r="AP32" s="432"/>
      <c r="AQ32" s="432"/>
      <c r="AR32" s="432"/>
      <c r="AS32" s="432"/>
      <c r="AT32" s="433"/>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3">
      <c r="A33" s="82"/>
      <c r="B33" s="350"/>
      <c r="C33" s="350"/>
      <c r="D33" s="351"/>
      <c r="E33" s="391"/>
      <c r="F33" s="392"/>
      <c r="G33" s="392"/>
      <c r="H33" s="392"/>
      <c r="I33" s="393"/>
      <c r="J33" s="66" t="str">
        <f>IF(AND('Mapa final'!$Y$49="Media",'Mapa final'!$AA$49="Leve"),CONCATENATE("R8C",'Mapa final'!$O$49),"")</f>
        <v/>
      </c>
      <c r="K33" s="67" t="str">
        <f>IF(AND('Mapa final'!$Y$50="Media",'Mapa final'!$AA$50="Leve"),CONCATENATE("R8C",'Mapa final'!$O$50),"")</f>
        <v/>
      </c>
      <c r="L33" s="67" t="str">
        <f>IF(AND('Mapa final'!$Y$51="Media",'Mapa final'!$AA$51="Leve"),CONCATENATE("R8C",'Mapa final'!$O$51),"")</f>
        <v/>
      </c>
      <c r="M33" s="67" t="str">
        <f>IF(AND('Mapa final'!$Y$52="Media",'Mapa final'!$AA$52="Leve"),CONCATENATE("R8C",'Mapa final'!$O$52),"")</f>
        <v/>
      </c>
      <c r="N33" s="67" t="str">
        <f>IF(AND('Mapa final'!$Y$53="Media",'Mapa final'!$AA$53="Leve"),CONCATENATE("R8C",'Mapa final'!$O$53),"")</f>
        <v/>
      </c>
      <c r="O33" s="68" t="str">
        <f>IF(AND('Mapa final'!$Y$54="Media",'Mapa final'!$AA$54="Leve"),CONCATENATE("R8C",'Mapa final'!$O$54),"")</f>
        <v/>
      </c>
      <c r="P33" s="66" t="str">
        <f>IF(AND('Mapa final'!$Y$49="Media",'Mapa final'!$AA$49="Menor"),CONCATENATE("R8C",'Mapa final'!$O$49),"")</f>
        <v/>
      </c>
      <c r="Q33" s="67" t="str">
        <f>IF(AND('Mapa final'!$Y$50="Media",'Mapa final'!$AA$50="Menor"),CONCATENATE("R8C",'Mapa final'!$O$50),"")</f>
        <v/>
      </c>
      <c r="R33" s="67" t="str">
        <f>IF(AND('Mapa final'!$Y$51="Media",'Mapa final'!$AA$51="Menor"),CONCATENATE("R8C",'Mapa final'!$O$51),"")</f>
        <v/>
      </c>
      <c r="S33" s="67" t="str">
        <f>IF(AND('Mapa final'!$Y$52="Media",'Mapa final'!$AA$52="Menor"),CONCATENATE("R8C",'Mapa final'!$O$52),"")</f>
        <v/>
      </c>
      <c r="T33" s="67" t="str">
        <f>IF(AND('Mapa final'!$Y$53="Media",'Mapa final'!$AA$53="Menor"),CONCATENATE("R8C",'Mapa final'!$O$53),"")</f>
        <v/>
      </c>
      <c r="U33" s="68" t="str">
        <f>IF(AND('Mapa final'!$Y$54="Media",'Mapa final'!$AA$54="Menor"),CONCATENATE("R8C",'Mapa final'!$O$54),"")</f>
        <v/>
      </c>
      <c r="V33" s="66" t="str">
        <f>IF(AND('Mapa final'!$Y$49="Media",'Mapa final'!$AA$49="Moderado"),CONCATENATE("R8C",'Mapa final'!$O$49),"")</f>
        <v/>
      </c>
      <c r="W33" s="67" t="str">
        <f>IF(AND('Mapa final'!$Y$50="Media",'Mapa final'!$AA$50="Moderado"),CONCATENATE("R8C",'Mapa final'!$O$50),"")</f>
        <v/>
      </c>
      <c r="X33" s="67" t="str">
        <f>IF(AND('Mapa final'!$Y$51="Media",'Mapa final'!$AA$51="Moderado"),CONCATENATE("R8C",'Mapa final'!$O$51),"")</f>
        <v/>
      </c>
      <c r="Y33" s="67" t="str">
        <f>IF(AND('Mapa final'!$Y$52="Media",'Mapa final'!$AA$52="Moderado"),CONCATENATE("R8C",'Mapa final'!$O$52),"")</f>
        <v/>
      </c>
      <c r="Z33" s="67" t="str">
        <f>IF(AND('Mapa final'!$Y$53="Media",'Mapa final'!$AA$53="Moderado"),CONCATENATE("R8C",'Mapa final'!$O$53),"")</f>
        <v/>
      </c>
      <c r="AA33" s="68" t="str">
        <f>IF(AND('Mapa final'!$Y$54="Media",'Mapa final'!$AA$54="Moderado"),CONCATENATE("R8C",'Mapa final'!$O$54),"")</f>
        <v/>
      </c>
      <c r="AB33" s="51" t="str">
        <f>IF(AND('Mapa final'!$Y$49="Media",'Mapa final'!$AA$49="Mayor"),CONCATENATE("R8C",'Mapa final'!$O$49),"")</f>
        <v/>
      </c>
      <c r="AC33" s="52" t="str">
        <f>IF(AND('Mapa final'!$Y$50="Media",'Mapa final'!$AA$50="Mayor"),CONCATENATE("R8C",'Mapa final'!$O$50),"")</f>
        <v/>
      </c>
      <c r="AD33" s="52" t="str">
        <f>IF(AND('Mapa final'!$Y$51="Media",'Mapa final'!$AA$51="Mayor"),CONCATENATE("R8C",'Mapa final'!$O$51),"")</f>
        <v/>
      </c>
      <c r="AE33" s="52" t="str">
        <f>IF(AND('Mapa final'!$Y$52="Media",'Mapa final'!$AA$52="Mayor"),CONCATENATE("R8C",'Mapa final'!$O$52),"")</f>
        <v/>
      </c>
      <c r="AF33" s="52" t="str">
        <f>IF(AND('Mapa final'!$Y$53="Media",'Mapa final'!$AA$53="Mayor"),CONCATENATE("R8C",'Mapa final'!$O$53),"")</f>
        <v/>
      </c>
      <c r="AG33" s="53" t="str">
        <f>IF(AND('Mapa final'!$Y$54="Media",'Mapa final'!$AA$54="Mayor"),CONCATENATE("R8C",'Mapa final'!$O$54),"")</f>
        <v/>
      </c>
      <c r="AH33" s="54" t="str">
        <f>IF(AND('Mapa final'!$Y$49="Media",'Mapa final'!$AA$49="Catastrófico"),CONCATENATE("R8C",'Mapa final'!$O$49),"")</f>
        <v/>
      </c>
      <c r="AI33" s="55" t="str">
        <f>IF(AND('Mapa final'!$Y$50="Media",'Mapa final'!$AA$50="Catastrófico"),CONCATENATE("R8C",'Mapa final'!$O$50),"")</f>
        <v/>
      </c>
      <c r="AJ33" s="55" t="str">
        <f>IF(AND('Mapa final'!$Y$51="Media",'Mapa final'!$AA$51="Catastrófico"),CONCATENATE("R8C",'Mapa final'!$O$51),"")</f>
        <v/>
      </c>
      <c r="AK33" s="55" t="str">
        <f>IF(AND('Mapa final'!$Y$52="Media",'Mapa final'!$AA$52="Catastrófico"),CONCATENATE("R8C",'Mapa final'!$O$52),"")</f>
        <v/>
      </c>
      <c r="AL33" s="55" t="str">
        <f>IF(AND('Mapa final'!$Y$53="Media",'Mapa final'!$AA$53="Catastrófico"),CONCATENATE("R8C",'Mapa final'!$O$53),"")</f>
        <v/>
      </c>
      <c r="AM33" s="56" t="str">
        <f>IF(AND('Mapa final'!$Y$54="Media",'Mapa final'!$AA$54="Catastrófico"),CONCATENATE("R8C",'Mapa final'!$O$54),"")</f>
        <v/>
      </c>
      <c r="AN33" s="82"/>
      <c r="AO33" s="431"/>
      <c r="AP33" s="432"/>
      <c r="AQ33" s="432"/>
      <c r="AR33" s="432"/>
      <c r="AS33" s="432"/>
      <c r="AT33" s="433"/>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3">
      <c r="A34" s="82"/>
      <c r="B34" s="350"/>
      <c r="C34" s="350"/>
      <c r="D34" s="351"/>
      <c r="E34" s="391"/>
      <c r="F34" s="392"/>
      <c r="G34" s="392"/>
      <c r="H34" s="392"/>
      <c r="I34" s="393"/>
      <c r="J34" s="66" t="str">
        <f>IF(AND('Mapa final'!$Y$55="Media",'Mapa final'!$AA$55="Leve"),CONCATENATE("R9C",'Mapa final'!$O$55),"")</f>
        <v/>
      </c>
      <c r="K34" s="67" t="str">
        <f>IF(AND('Mapa final'!$Y$56="Media",'Mapa final'!$AA$56="Leve"),CONCATENATE("R9C",'Mapa final'!$O$56),"")</f>
        <v/>
      </c>
      <c r="L34" s="67" t="str">
        <f>IF(AND('Mapa final'!$Y$57="Media",'Mapa final'!$AA$57="Leve"),CONCATENATE("R9C",'Mapa final'!$O$57),"")</f>
        <v/>
      </c>
      <c r="M34" s="67" t="str">
        <f>IF(AND('Mapa final'!$Y$58="Media",'Mapa final'!$AA$58="Leve"),CONCATENATE("R9C",'Mapa final'!$O$58),"")</f>
        <v/>
      </c>
      <c r="N34" s="67" t="str">
        <f>IF(AND('Mapa final'!$Y$59="Media",'Mapa final'!$AA$59="Leve"),CONCATENATE("R9C",'Mapa final'!$O$59),"")</f>
        <v/>
      </c>
      <c r="O34" s="68" t="str">
        <f>IF(AND('Mapa final'!$Y$60="Media",'Mapa final'!$AA$60="Leve"),CONCATENATE("R9C",'Mapa final'!$O$60),"")</f>
        <v/>
      </c>
      <c r="P34" s="66" t="str">
        <f>IF(AND('Mapa final'!$Y$55="Media",'Mapa final'!$AA$55="Menor"),CONCATENATE("R9C",'Mapa final'!$O$55),"")</f>
        <v/>
      </c>
      <c r="Q34" s="67" t="str">
        <f>IF(AND('Mapa final'!$Y$56="Media",'Mapa final'!$AA$56="Menor"),CONCATENATE("R9C",'Mapa final'!$O$56),"")</f>
        <v/>
      </c>
      <c r="R34" s="67" t="str">
        <f>IF(AND('Mapa final'!$Y$57="Media",'Mapa final'!$AA$57="Menor"),CONCATENATE("R9C",'Mapa final'!$O$57),"")</f>
        <v/>
      </c>
      <c r="S34" s="67" t="str">
        <f>IF(AND('Mapa final'!$Y$58="Media",'Mapa final'!$AA$58="Menor"),CONCATENATE("R9C",'Mapa final'!$O$58),"")</f>
        <v/>
      </c>
      <c r="T34" s="67" t="str">
        <f>IF(AND('Mapa final'!$Y$59="Media",'Mapa final'!$AA$59="Menor"),CONCATENATE("R9C",'Mapa final'!$O$59),"")</f>
        <v/>
      </c>
      <c r="U34" s="68" t="str">
        <f>IF(AND('Mapa final'!$Y$60="Media",'Mapa final'!$AA$60="Menor"),CONCATENATE("R9C",'Mapa final'!$O$60),"")</f>
        <v/>
      </c>
      <c r="V34" s="66" t="str">
        <f>IF(AND('Mapa final'!$Y$55="Media",'Mapa final'!$AA$55="Moderado"),CONCATENATE("R9C",'Mapa final'!$O$55),"")</f>
        <v/>
      </c>
      <c r="W34" s="67" t="str">
        <f>IF(AND('Mapa final'!$Y$56="Media",'Mapa final'!$AA$56="Moderado"),CONCATENATE("R9C",'Mapa final'!$O$56),"")</f>
        <v/>
      </c>
      <c r="X34" s="67" t="str">
        <f>IF(AND('Mapa final'!$Y$57="Media",'Mapa final'!$AA$57="Moderado"),CONCATENATE("R9C",'Mapa final'!$O$57),"")</f>
        <v/>
      </c>
      <c r="Y34" s="67" t="str">
        <f>IF(AND('Mapa final'!$Y$58="Media",'Mapa final'!$AA$58="Moderado"),CONCATENATE("R9C",'Mapa final'!$O$58),"")</f>
        <v/>
      </c>
      <c r="Z34" s="67" t="str">
        <f>IF(AND('Mapa final'!$Y$59="Media",'Mapa final'!$AA$59="Moderado"),CONCATENATE("R9C",'Mapa final'!$O$59),"")</f>
        <v/>
      </c>
      <c r="AA34" s="68" t="str">
        <f>IF(AND('Mapa final'!$Y$60="Media",'Mapa final'!$AA$60="Moderado"),CONCATENATE("R9C",'Mapa final'!$O$60),"")</f>
        <v/>
      </c>
      <c r="AB34" s="51" t="str">
        <f>IF(AND('Mapa final'!$Y$55="Media",'Mapa final'!$AA$55="Mayor"),CONCATENATE("R9C",'Mapa final'!$O$55),"")</f>
        <v/>
      </c>
      <c r="AC34" s="52" t="str">
        <f>IF(AND('Mapa final'!$Y$56="Media",'Mapa final'!$AA$56="Mayor"),CONCATENATE("R9C",'Mapa final'!$O$56),"")</f>
        <v/>
      </c>
      <c r="AD34" s="52" t="str">
        <f>IF(AND('Mapa final'!$Y$57="Media",'Mapa final'!$AA$57="Mayor"),CONCATENATE("R9C",'Mapa final'!$O$57),"")</f>
        <v/>
      </c>
      <c r="AE34" s="52" t="str">
        <f>IF(AND('Mapa final'!$Y$58="Media",'Mapa final'!$AA$58="Mayor"),CONCATENATE("R9C",'Mapa final'!$O$58),"")</f>
        <v/>
      </c>
      <c r="AF34" s="52" t="str">
        <f>IF(AND('Mapa final'!$Y$59="Media",'Mapa final'!$AA$59="Mayor"),CONCATENATE("R9C",'Mapa final'!$O$59),"")</f>
        <v/>
      </c>
      <c r="AG34" s="53" t="str">
        <f>IF(AND('Mapa final'!$Y$60="Media",'Mapa final'!$AA$60="Mayor"),CONCATENATE("R9C",'Mapa final'!$O$60),"")</f>
        <v/>
      </c>
      <c r="AH34" s="54" t="str">
        <f>IF(AND('Mapa final'!$Y$55="Media",'Mapa final'!$AA$55="Catastrófico"),CONCATENATE("R9C",'Mapa final'!$O$55),"")</f>
        <v/>
      </c>
      <c r="AI34" s="55" t="str">
        <f>IF(AND('Mapa final'!$Y$56="Media",'Mapa final'!$AA$56="Catastrófico"),CONCATENATE("R9C",'Mapa final'!$O$56),"")</f>
        <v/>
      </c>
      <c r="AJ34" s="55" t="str">
        <f>IF(AND('Mapa final'!$Y$57="Media",'Mapa final'!$AA$57="Catastrófico"),CONCATENATE("R9C",'Mapa final'!$O$57),"")</f>
        <v/>
      </c>
      <c r="AK34" s="55" t="str">
        <f>IF(AND('Mapa final'!$Y$58="Media",'Mapa final'!$AA$58="Catastrófico"),CONCATENATE("R9C",'Mapa final'!$O$58),"")</f>
        <v/>
      </c>
      <c r="AL34" s="55" t="str">
        <f>IF(AND('Mapa final'!$Y$59="Media",'Mapa final'!$AA$59="Catastrófico"),CONCATENATE("R9C",'Mapa final'!$O$59),"")</f>
        <v/>
      </c>
      <c r="AM34" s="56" t="str">
        <f>IF(AND('Mapa final'!$Y$60="Media",'Mapa final'!$AA$60="Catastrófico"),CONCATENATE("R9C",'Mapa final'!$O$60),"")</f>
        <v/>
      </c>
      <c r="AN34" s="82"/>
      <c r="AO34" s="431"/>
      <c r="AP34" s="432"/>
      <c r="AQ34" s="432"/>
      <c r="AR34" s="432"/>
      <c r="AS34" s="432"/>
      <c r="AT34" s="433"/>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5">
      <c r="A35" s="82"/>
      <c r="B35" s="350"/>
      <c r="C35" s="350"/>
      <c r="D35" s="351"/>
      <c r="E35" s="394"/>
      <c r="F35" s="395"/>
      <c r="G35" s="395"/>
      <c r="H35" s="395"/>
      <c r="I35" s="396"/>
      <c r="J35" s="66" t="str">
        <f>IF(AND('Mapa final'!$Y$61="Media",'Mapa final'!$AA$61="Leve"),CONCATENATE("R10C",'Mapa final'!$O$61),"")</f>
        <v/>
      </c>
      <c r="K35" s="67" t="str">
        <f>IF(AND('Mapa final'!$Y$62="Media",'Mapa final'!$AA$62="Leve"),CONCATENATE("R10C",'Mapa final'!$O$62),"")</f>
        <v/>
      </c>
      <c r="L35" s="67" t="str">
        <f>IF(AND('Mapa final'!$Y$63="Media",'Mapa final'!$AA$63="Leve"),CONCATENATE("R10C",'Mapa final'!$O$63),"")</f>
        <v/>
      </c>
      <c r="M35" s="67" t="str">
        <f>IF(AND('Mapa final'!$Y$64="Media",'Mapa final'!$AA$64="Leve"),CONCATENATE("R10C",'Mapa final'!$O$64),"")</f>
        <v/>
      </c>
      <c r="N35" s="67" t="str">
        <f>IF(AND('Mapa final'!$Y$65="Media",'Mapa final'!$AA$65="Leve"),CONCATENATE("R10C",'Mapa final'!$O$65),"")</f>
        <v/>
      </c>
      <c r="O35" s="68" t="str">
        <f>IF(AND('Mapa final'!$Y$66="Media",'Mapa final'!$AA$66="Leve"),CONCATENATE("R10C",'Mapa final'!$O$66),"")</f>
        <v/>
      </c>
      <c r="P35" s="66" t="str">
        <f>IF(AND('Mapa final'!$Y$61="Media",'Mapa final'!$AA$61="Menor"),CONCATENATE("R10C",'Mapa final'!$O$61),"")</f>
        <v/>
      </c>
      <c r="Q35" s="67" t="str">
        <f>IF(AND('Mapa final'!$Y$62="Media",'Mapa final'!$AA$62="Menor"),CONCATENATE("R10C",'Mapa final'!$O$62),"")</f>
        <v/>
      </c>
      <c r="R35" s="67" t="str">
        <f>IF(AND('Mapa final'!$Y$63="Media",'Mapa final'!$AA$63="Menor"),CONCATENATE("R10C",'Mapa final'!$O$63),"")</f>
        <v/>
      </c>
      <c r="S35" s="67" t="str">
        <f>IF(AND('Mapa final'!$Y$64="Media",'Mapa final'!$AA$64="Menor"),CONCATENATE("R10C",'Mapa final'!$O$64),"")</f>
        <v/>
      </c>
      <c r="T35" s="67" t="str">
        <f>IF(AND('Mapa final'!$Y$65="Media",'Mapa final'!$AA$65="Menor"),CONCATENATE("R10C",'Mapa final'!$O$65),"")</f>
        <v/>
      </c>
      <c r="U35" s="68" t="str">
        <f>IF(AND('Mapa final'!$Y$66="Media",'Mapa final'!$AA$66="Menor"),CONCATENATE("R10C",'Mapa final'!$O$66),"")</f>
        <v/>
      </c>
      <c r="V35" s="66" t="str">
        <f>IF(AND('Mapa final'!$Y$61="Media",'Mapa final'!$AA$61="Moderado"),CONCATENATE("R10C",'Mapa final'!$O$61),"")</f>
        <v/>
      </c>
      <c r="W35" s="67" t="str">
        <f>IF(AND('Mapa final'!$Y$62="Media",'Mapa final'!$AA$62="Moderado"),CONCATENATE("R10C",'Mapa final'!$O$62),"")</f>
        <v/>
      </c>
      <c r="X35" s="67" t="str">
        <f>IF(AND('Mapa final'!$Y$63="Media",'Mapa final'!$AA$63="Moderado"),CONCATENATE("R10C",'Mapa final'!$O$63),"")</f>
        <v/>
      </c>
      <c r="Y35" s="67" t="str">
        <f>IF(AND('Mapa final'!$Y$64="Media",'Mapa final'!$AA$64="Moderado"),CONCATENATE("R10C",'Mapa final'!$O$64),"")</f>
        <v/>
      </c>
      <c r="Z35" s="67" t="str">
        <f>IF(AND('Mapa final'!$Y$65="Media",'Mapa final'!$AA$65="Moderado"),CONCATENATE("R10C",'Mapa final'!$O$65),"")</f>
        <v/>
      </c>
      <c r="AA35" s="68" t="str">
        <f>IF(AND('Mapa final'!$Y$66="Media",'Mapa final'!$AA$66="Moderado"),CONCATENATE("R10C",'Mapa final'!$O$66),"")</f>
        <v/>
      </c>
      <c r="AB35" s="57" t="str">
        <f>IF(AND('Mapa final'!$Y$61="Media",'Mapa final'!$AA$61="Mayor"),CONCATENATE("R10C",'Mapa final'!$O$61),"")</f>
        <v/>
      </c>
      <c r="AC35" s="58" t="str">
        <f>IF(AND('Mapa final'!$Y$62="Media",'Mapa final'!$AA$62="Mayor"),CONCATENATE("R10C",'Mapa final'!$O$62),"")</f>
        <v/>
      </c>
      <c r="AD35" s="58" t="str">
        <f>IF(AND('Mapa final'!$Y$63="Media",'Mapa final'!$AA$63="Mayor"),CONCATENATE("R10C",'Mapa final'!$O$63),"")</f>
        <v/>
      </c>
      <c r="AE35" s="58" t="str">
        <f>IF(AND('Mapa final'!$Y$64="Media",'Mapa final'!$AA$64="Mayor"),CONCATENATE("R10C",'Mapa final'!$O$64),"")</f>
        <v/>
      </c>
      <c r="AF35" s="58" t="str">
        <f>IF(AND('Mapa final'!$Y$65="Media",'Mapa final'!$AA$65="Mayor"),CONCATENATE("R10C",'Mapa final'!$O$65),"")</f>
        <v/>
      </c>
      <c r="AG35" s="59" t="str">
        <f>IF(AND('Mapa final'!$Y$66="Media",'Mapa final'!$AA$66="Mayor"),CONCATENATE("R10C",'Mapa final'!$O$66),"")</f>
        <v/>
      </c>
      <c r="AH35" s="60" t="str">
        <f>IF(AND('Mapa final'!$Y$61="Media",'Mapa final'!$AA$61="Catastrófico"),CONCATENATE("R10C",'Mapa final'!$O$61),"")</f>
        <v/>
      </c>
      <c r="AI35" s="61" t="str">
        <f>IF(AND('Mapa final'!$Y$62="Media",'Mapa final'!$AA$62="Catastrófico"),CONCATENATE("R10C",'Mapa final'!$O$62),"")</f>
        <v/>
      </c>
      <c r="AJ35" s="61" t="str">
        <f>IF(AND('Mapa final'!$Y$63="Media",'Mapa final'!$AA$63="Catastrófico"),CONCATENATE("R10C",'Mapa final'!$O$63),"")</f>
        <v/>
      </c>
      <c r="AK35" s="61" t="str">
        <f>IF(AND('Mapa final'!$Y$64="Media",'Mapa final'!$AA$64="Catastrófico"),CONCATENATE("R10C",'Mapa final'!$O$64),"")</f>
        <v/>
      </c>
      <c r="AL35" s="61" t="str">
        <f>IF(AND('Mapa final'!$Y$65="Media",'Mapa final'!$AA$65="Catastrófico"),CONCATENATE("R10C",'Mapa final'!$O$65),"")</f>
        <v/>
      </c>
      <c r="AM35" s="62" t="str">
        <f>IF(AND('Mapa final'!$Y$66="Media",'Mapa final'!$AA$66="Catastrófico"),CONCATENATE("R10C",'Mapa final'!$O$66),"")</f>
        <v/>
      </c>
      <c r="AN35" s="82"/>
      <c r="AO35" s="434"/>
      <c r="AP35" s="435"/>
      <c r="AQ35" s="435"/>
      <c r="AR35" s="435"/>
      <c r="AS35" s="435"/>
      <c r="AT35" s="436"/>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3">
      <c r="A36" s="82"/>
      <c r="B36" s="350"/>
      <c r="C36" s="350"/>
      <c r="D36" s="351"/>
      <c r="E36" s="388" t="s">
        <v>113</v>
      </c>
      <c r="F36" s="389"/>
      <c r="G36" s="389"/>
      <c r="H36" s="389"/>
      <c r="I36" s="389"/>
      <c r="J36" s="72" t="str">
        <f>IF(AND('Mapa final'!$Y$10="Baja",'Mapa final'!$AA$10="Leve"),CONCATENATE("R1C",'Mapa final'!$O$10),"")</f>
        <v/>
      </c>
      <c r="K36" s="73" t="str">
        <f>IF(AND('Mapa final'!$Y$11="Baja",'Mapa final'!$AA$11="Leve"),CONCATENATE("R1C",'Mapa final'!$O$11),"")</f>
        <v/>
      </c>
      <c r="L36" s="73" t="str">
        <f>IF(AND('Mapa final'!$Y$12="Baja",'Mapa final'!$AA$12="Leve"),CONCATENATE("R1C",'Mapa final'!$O$12),"")</f>
        <v/>
      </c>
      <c r="M36" s="73" t="str">
        <f>IF(AND('Mapa final'!$Y$13="Baja",'Mapa final'!$AA$13="Leve"),CONCATENATE("R1C",'Mapa final'!$O$13),"")</f>
        <v/>
      </c>
      <c r="N36" s="73" t="str">
        <f>IF(AND('Mapa final'!$Y$14="Baja",'Mapa final'!$AA$14="Leve"),CONCATENATE("R1C",'Mapa final'!$O$14),"")</f>
        <v/>
      </c>
      <c r="O36" s="74" t="str">
        <f>IF(AND('Mapa final'!$Y$15="Baja",'Mapa final'!$AA$15="Leve"),CONCATENATE("R1C",'Mapa final'!$O$15),"")</f>
        <v/>
      </c>
      <c r="P36" s="63" t="str">
        <f>IF(AND('Mapa final'!$Y$10="Baja",'Mapa final'!$AA$10="Menor"),CONCATENATE("R1C",'Mapa final'!$O$10),"")</f>
        <v/>
      </c>
      <c r="Q36" s="64" t="str">
        <f>IF(AND('Mapa final'!$Y$11="Baja",'Mapa final'!$AA$11="Menor"),CONCATENATE("R1C",'Mapa final'!$O$11),"")</f>
        <v/>
      </c>
      <c r="R36" s="64" t="str">
        <f>IF(AND('Mapa final'!$Y$12="Baja",'Mapa final'!$AA$12="Menor"),CONCATENATE("R1C",'Mapa final'!$O$12),"")</f>
        <v/>
      </c>
      <c r="S36" s="64" t="str">
        <f>IF(AND('Mapa final'!$Y$13="Baja",'Mapa final'!$AA$13="Menor"),CONCATENATE("R1C",'Mapa final'!$O$13),"")</f>
        <v/>
      </c>
      <c r="T36" s="64" t="str">
        <f>IF(AND('Mapa final'!$Y$14="Baja",'Mapa final'!$AA$14="Menor"),CONCATENATE("R1C",'Mapa final'!$O$14),"")</f>
        <v/>
      </c>
      <c r="U36" s="65" t="str">
        <f>IF(AND('Mapa final'!$Y$15="Baja",'Mapa final'!$AA$15="Menor"),CONCATENATE("R1C",'Mapa final'!$O$15),"")</f>
        <v/>
      </c>
      <c r="V36" s="63" t="str">
        <f>IF(AND('Mapa final'!$Y$10="Baja",'Mapa final'!$AA$10="Moderado"),CONCATENATE("R1C",'Mapa final'!$O$10),"")</f>
        <v/>
      </c>
      <c r="W36" s="64" t="str">
        <f>IF(AND('Mapa final'!$Y$11="Baja",'Mapa final'!$AA$11="Moderado"),CONCATENATE("R1C",'Mapa final'!$O$11),"")</f>
        <v/>
      </c>
      <c r="X36" s="64" t="str">
        <f>IF(AND('Mapa final'!$Y$12="Baja",'Mapa final'!$AA$12="Moderado"),CONCATENATE("R1C",'Mapa final'!$O$12),"")</f>
        <v/>
      </c>
      <c r="Y36" s="64" t="str">
        <f>IF(AND('Mapa final'!$Y$13="Baja",'Mapa final'!$AA$13="Moderado"),CONCATENATE("R1C",'Mapa final'!$O$13),"")</f>
        <v/>
      </c>
      <c r="Z36" s="64" t="str">
        <f>IF(AND('Mapa final'!$Y$14="Baja",'Mapa final'!$AA$14="Moderado"),CONCATENATE("R1C",'Mapa final'!$O$14),"")</f>
        <v/>
      </c>
      <c r="AA36" s="65" t="str">
        <f>IF(AND('Mapa final'!$Y$15="Baja",'Mapa final'!$AA$15="Moderado"),CONCATENATE("R1C",'Mapa final'!$O$15),"")</f>
        <v/>
      </c>
      <c r="AB36" s="45" t="str">
        <f>IF(AND('Mapa final'!$Y$10="Baja",'Mapa final'!$AA$10="Mayor"),CONCATENATE("R1C",'Mapa final'!$O$10),"")</f>
        <v/>
      </c>
      <c r="AC36" s="46" t="str">
        <f>IF(AND('Mapa final'!$Y$11="Baja",'Mapa final'!$AA$11="Mayor"),CONCATENATE("R1C",'Mapa final'!$O$11),"")</f>
        <v/>
      </c>
      <c r="AD36" s="46" t="str">
        <f>IF(AND('Mapa final'!$Y$12="Baja",'Mapa final'!$AA$12="Mayor"),CONCATENATE("R1C",'Mapa final'!$O$12),"")</f>
        <v/>
      </c>
      <c r="AE36" s="46" t="str">
        <f>IF(AND('Mapa final'!$Y$13="Baja",'Mapa final'!$AA$13="Mayor"),CONCATENATE("R1C",'Mapa final'!$O$13),"")</f>
        <v/>
      </c>
      <c r="AF36" s="46" t="str">
        <f>IF(AND('Mapa final'!$Y$14="Baja",'Mapa final'!$AA$14="Mayor"),CONCATENATE("R1C",'Mapa final'!$O$14),"")</f>
        <v/>
      </c>
      <c r="AG36" s="47" t="str">
        <f>IF(AND('Mapa final'!$Y$15="Baja",'Mapa final'!$AA$15="Mayor"),CONCATENATE("R1C",'Mapa final'!$O$15),"")</f>
        <v/>
      </c>
      <c r="AH36" s="48" t="str">
        <f>IF(AND('Mapa final'!$Y$10="Baja",'Mapa final'!$AA$10="Catastrófico"),CONCATENATE("R1C",'Mapa final'!$O$10),"")</f>
        <v/>
      </c>
      <c r="AI36" s="49" t="str">
        <f>IF(AND('Mapa final'!$Y$11="Baja",'Mapa final'!$AA$11="Catastrófico"),CONCATENATE("R1C",'Mapa final'!$O$11),"")</f>
        <v/>
      </c>
      <c r="AJ36" s="49" t="str">
        <f>IF(AND('Mapa final'!$Y$12="Baja",'Mapa final'!$AA$12="Catastrófico"),CONCATENATE("R1C",'Mapa final'!$O$12),"")</f>
        <v/>
      </c>
      <c r="AK36" s="49" t="str">
        <f>IF(AND('Mapa final'!$Y$13="Baja",'Mapa final'!$AA$13="Catastrófico"),CONCATENATE("R1C",'Mapa final'!$O$13),"")</f>
        <v/>
      </c>
      <c r="AL36" s="49" t="str">
        <f>IF(AND('Mapa final'!$Y$14="Baja",'Mapa final'!$AA$14="Catastrófico"),CONCATENATE("R1C",'Mapa final'!$O$14),"")</f>
        <v/>
      </c>
      <c r="AM36" s="50" t="str">
        <f>IF(AND('Mapa final'!$Y$15="Baja",'Mapa final'!$AA$15="Catastrófico"),CONCATENATE("R1C",'Mapa final'!$O$15),"")</f>
        <v/>
      </c>
      <c r="AN36" s="82"/>
      <c r="AO36" s="419" t="s">
        <v>81</v>
      </c>
      <c r="AP36" s="420"/>
      <c r="AQ36" s="420"/>
      <c r="AR36" s="420"/>
      <c r="AS36" s="420"/>
      <c r="AT36" s="421"/>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3">
      <c r="A37" s="82"/>
      <c r="B37" s="350"/>
      <c r="C37" s="350"/>
      <c r="D37" s="351"/>
      <c r="E37" s="407"/>
      <c r="F37" s="392"/>
      <c r="G37" s="392"/>
      <c r="H37" s="392"/>
      <c r="I37" s="392"/>
      <c r="J37" s="75" t="str">
        <f>IF(AND('Mapa final'!$Y$16="Baja",'Mapa final'!$AA$16="Leve"),CONCATENATE("R2C",'Mapa final'!$O$16),"")</f>
        <v/>
      </c>
      <c r="K37" s="76" t="str">
        <f>IF(AND('Mapa final'!$Y$17="Baja",'Mapa final'!$AA$17="Leve"),CONCATENATE("R2C",'Mapa final'!$O$17),"")</f>
        <v/>
      </c>
      <c r="L37" s="76" t="str">
        <f>IF(AND('Mapa final'!$Y$18="Baja",'Mapa final'!$AA$18="Leve"),CONCATENATE("R2C",'Mapa final'!$O$18),"")</f>
        <v/>
      </c>
      <c r="M37" s="76" t="str">
        <f>IF(AND('Mapa final'!$Y$19="Baja",'Mapa final'!$AA$19="Leve"),CONCATENATE("R2C",'Mapa final'!$O$19),"")</f>
        <v/>
      </c>
      <c r="N37" s="76" t="str">
        <f>IF(AND('Mapa final'!$Y$20="Baja",'Mapa final'!$AA$20="Leve"),CONCATENATE("R2C",'Mapa final'!$O$20),"")</f>
        <v/>
      </c>
      <c r="O37" s="77" t="str">
        <f>IF(AND('Mapa final'!$Y$21="Baja",'Mapa final'!$AA$21="Leve"),CONCATENATE("R2C",'Mapa final'!$O$21),"")</f>
        <v/>
      </c>
      <c r="P37" s="66" t="str">
        <f>IF(AND('Mapa final'!$Y$16="Baja",'Mapa final'!$AA$16="Menor"),CONCATENATE("R2C",'Mapa final'!$O$16),"")</f>
        <v/>
      </c>
      <c r="Q37" s="67" t="str">
        <f>IF(AND('Mapa final'!$Y$17="Baja",'Mapa final'!$AA$17="Menor"),CONCATENATE("R2C",'Mapa final'!$O$17),"")</f>
        <v/>
      </c>
      <c r="R37" s="67" t="str">
        <f>IF(AND('Mapa final'!$Y$18="Baja",'Mapa final'!$AA$18="Menor"),CONCATENATE("R2C",'Mapa final'!$O$18),"")</f>
        <v/>
      </c>
      <c r="S37" s="67" t="str">
        <f>IF(AND('Mapa final'!$Y$19="Baja",'Mapa final'!$AA$19="Menor"),CONCATENATE("R2C",'Mapa final'!$O$19),"")</f>
        <v/>
      </c>
      <c r="T37" s="67" t="str">
        <f>IF(AND('Mapa final'!$Y$20="Baja",'Mapa final'!$AA$20="Menor"),CONCATENATE("R2C",'Mapa final'!$O$20),"")</f>
        <v/>
      </c>
      <c r="U37" s="68" t="str">
        <f>IF(AND('Mapa final'!$Y$21="Baja",'Mapa final'!$AA$21="Menor"),CONCATENATE("R2C",'Mapa final'!$O$21),"")</f>
        <v/>
      </c>
      <c r="V37" s="66" t="str">
        <f>IF(AND('Mapa final'!$Y$16="Baja",'Mapa final'!$AA$16="Moderado"),CONCATENATE("R2C",'Mapa final'!$O$16),"")</f>
        <v/>
      </c>
      <c r="W37" s="67" t="str">
        <f>IF(AND('Mapa final'!$Y$17="Baja",'Mapa final'!$AA$17="Moderado"),CONCATENATE("R2C",'Mapa final'!$O$17),"")</f>
        <v/>
      </c>
      <c r="X37" s="67" t="str">
        <f>IF(AND('Mapa final'!$Y$18="Baja",'Mapa final'!$AA$18="Moderado"),CONCATENATE("R2C",'Mapa final'!$O$18),"")</f>
        <v/>
      </c>
      <c r="Y37" s="67" t="str">
        <f>IF(AND('Mapa final'!$Y$19="Baja",'Mapa final'!$AA$19="Moderado"),CONCATENATE("R2C",'Mapa final'!$O$19),"")</f>
        <v/>
      </c>
      <c r="Z37" s="67" t="str">
        <f>IF(AND('Mapa final'!$Y$20="Baja",'Mapa final'!$AA$20="Moderado"),CONCATENATE("R2C",'Mapa final'!$O$20),"")</f>
        <v/>
      </c>
      <c r="AA37" s="68" t="str">
        <f>IF(AND('Mapa final'!$Y$21="Baja",'Mapa final'!$AA$21="Moderado"),CONCATENATE("R2C",'Mapa final'!$O$21),"")</f>
        <v/>
      </c>
      <c r="AB37" s="51" t="str">
        <f>IF(AND('Mapa final'!$Y$16="Baja",'Mapa final'!$AA$16="Mayor"),CONCATENATE("R2C",'Mapa final'!$O$16),"")</f>
        <v>R2C1</v>
      </c>
      <c r="AC37" s="52" t="str">
        <f>IF(AND('Mapa final'!$Y$17="Baja",'Mapa final'!$AA$17="Mayor"),CONCATENATE("R2C",'Mapa final'!$O$17),"")</f>
        <v/>
      </c>
      <c r="AD37" s="52" t="str">
        <f>IF(AND('Mapa final'!$Y$18="Baja",'Mapa final'!$AA$18="Mayor"),CONCATENATE("R2C",'Mapa final'!$O$18),"")</f>
        <v/>
      </c>
      <c r="AE37" s="52" t="str">
        <f>IF(AND('Mapa final'!$Y$19="Baja",'Mapa final'!$AA$19="Mayor"),CONCATENATE("R2C",'Mapa final'!$O$19),"")</f>
        <v/>
      </c>
      <c r="AF37" s="52" t="str">
        <f>IF(AND('Mapa final'!$Y$20="Baja",'Mapa final'!$AA$20="Mayor"),CONCATENATE("R2C",'Mapa final'!$O$20),"")</f>
        <v/>
      </c>
      <c r="AG37" s="53" t="str">
        <f>IF(AND('Mapa final'!$Y$21="Baja",'Mapa final'!$AA$21="Mayor"),CONCATENATE("R2C",'Mapa final'!$O$21),"")</f>
        <v/>
      </c>
      <c r="AH37" s="54" t="str">
        <f>IF(AND('Mapa final'!$Y$16="Baja",'Mapa final'!$AA$16="Catastrófico"),CONCATENATE("R2C",'Mapa final'!$O$16),"")</f>
        <v/>
      </c>
      <c r="AI37" s="55" t="str">
        <f>IF(AND('Mapa final'!$Y$17="Baja",'Mapa final'!$AA$17="Catastrófico"),CONCATENATE("R2C",'Mapa final'!$O$17),"")</f>
        <v/>
      </c>
      <c r="AJ37" s="55" t="str">
        <f>IF(AND('Mapa final'!$Y$18="Baja",'Mapa final'!$AA$18="Catastrófico"),CONCATENATE("R2C",'Mapa final'!$O$18),"")</f>
        <v/>
      </c>
      <c r="AK37" s="55" t="str">
        <f>IF(AND('Mapa final'!$Y$19="Baja",'Mapa final'!$AA$19="Catastrófico"),CONCATENATE("R2C",'Mapa final'!$O$19),"")</f>
        <v/>
      </c>
      <c r="AL37" s="55" t="str">
        <f>IF(AND('Mapa final'!$Y$20="Baja",'Mapa final'!$AA$20="Catastrófico"),CONCATENATE("R2C",'Mapa final'!$O$20),"")</f>
        <v/>
      </c>
      <c r="AM37" s="56" t="str">
        <f>IF(AND('Mapa final'!$Y$21="Baja",'Mapa final'!$AA$21="Catastrófico"),CONCATENATE("R2C",'Mapa final'!$O$21),"")</f>
        <v/>
      </c>
      <c r="AN37" s="82"/>
      <c r="AO37" s="422"/>
      <c r="AP37" s="423"/>
      <c r="AQ37" s="423"/>
      <c r="AR37" s="423"/>
      <c r="AS37" s="423"/>
      <c r="AT37" s="424"/>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3">
      <c r="A38" s="82"/>
      <c r="B38" s="350"/>
      <c r="C38" s="350"/>
      <c r="D38" s="351"/>
      <c r="E38" s="391"/>
      <c r="F38" s="392"/>
      <c r="G38" s="392"/>
      <c r="H38" s="392"/>
      <c r="I38" s="392"/>
      <c r="J38" s="75" t="str">
        <f>IF(AND('Mapa final'!$Y$22="Baja",'Mapa final'!$AA$22="Leve"),CONCATENATE("R3C",'Mapa final'!$O$22),"")</f>
        <v/>
      </c>
      <c r="K38" s="76" t="str">
        <f>IF(AND('Mapa final'!$Y$23="Baja",'Mapa final'!$AA$23="Leve"),CONCATENATE("R3C",'Mapa final'!$O$23),"")</f>
        <v/>
      </c>
      <c r="L38" s="76" t="str">
        <f>IF(AND('Mapa final'!$Y$24="Baja",'Mapa final'!$AA$24="Leve"),CONCATENATE("R3C",'Mapa final'!$O$24),"")</f>
        <v/>
      </c>
      <c r="M38" s="76" t="str">
        <f>IF(AND('Mapa final'!$Y$25="Baja",'Mapa final'!$AA$25="Leve"),CONCATENATE("R3C",'Mapa final'!$O$25),"")</f>
        <v/>
      </c>
      <c r="N38" s="76" t="str">
        <f>IF(AND('Mapa final'!$Y$26="Baja",'Mapa final'!$AA$26="Leve"),CONCATENATE("R3C",'Mapa final'!$O$26),"")</f>
        <v/>
      </c>
      <c r="O38" s="77" t="str">
        <f>IF(AND('Mapa final'!$Y$27="Baja",'Mapa final'!$AA$27="Leve"),CONCATENATE("R3C",'Mapa final'!$O$27),"")</f>
        <v/>
      </c>
      <c r="P38" s="66" t="str">
        <f>IF(AND('Mapa final'!$Y$22="Baja",'Mapa final'!$AA$22="Menor"),CONCATENATE("R3C",'Mapa final'!$O$22),"")</f>
        <v/>
      </c>
      <c r="Q38" s="67" t="str">
        <f>IF(AND('Mapa final'!$Y$23="Baja",'Mapa final'!$AA$23="Menor"),CONCATENATE("R3C",'Mapa final'!$O$23),"")</f>
        <v/>
      </c>
      <c r="R38" s="67" t="str">
        <f>IF(AND('Mapa final'!$Y$24="Baja",'Mapa final'!$AA$24="Menor"),CONCATENATE("R3C",'Mapa final'!$O$24),"")</f>
        <v/>
      </c>
      <c r="S38" s="67" t="str">
        <f>IF(AND('Mapa final'!$Y$25="Baja",'Mapa final'!$AA$25="Menor"),CONCATENATE("R3C",'Mapa final'!$O$25),"")</f>
        <v/>
      </c>
      <c r="T38" s="67" t="str">
        <f>IF(AND('Mapa final'!$Y$26="Baja",'Mapa final'!$AA$26="Menor"),CONCATENATE("R3C",'Mapa final'!$O$26),"")</f>
        <v/>
      </c>
      <c r="U38" s="68" t="str">
        <f>IF(AND('Mapa final'!$Y$27="Baja",'Mapa final'!$AA$27="Menor"),CONCATENATE("R3C",'Mapa final'!$O$27),"")</f>
        <v/>
      </c>
      <c r="V38" s="66" t="str">
        <f>IF(AND('Mapa final'!$Y$22="Baja",'Mapa final'!$AA$22="Moderado"),CONCATENATE("R3C",'Mapa final'!$O$22),"")</f>
        <v>R3C1</v>
      </c>
      <c r="W38" s="67" t="str">
        <f>IF(AND('Mapa final'!$Y$23="Baja",'Mapa final'!$AA$23="Moderado"),CONCATENATE("R3C",'Mapa final'!$O$23),"")</f>
        <v/>
      </c>
      <c r="X38" s="67" t="str">
        <f>IF(AND('Mapa final'!$Y$24="Baja",'Mapa final'!$AA$24="Moderado"),CONCATENATE("R3C",'Mapa final'!$O$24),"")</f>
        <v/>
      </c>
      <c r="Y38" s="67" t="str">
        <f>IF(AND('Mapa final'!$Y$25="Baja",'Mapa final'!$AA$25="Moderado"),CONCATENATE("R3C",'Mapa final'!$O$25),"")</f>
        <v/>
      </c>
      <c r="Z38" s="67" t="str">
        <f>IF(AND('Mapa final'!$Y$26="Baja",'Mapa final'!$AA$26="Moderado"),CONCATENATE("R3C",'Mapa final'!$O$26),"")</f>
        <v/>
      </c>
      <c r="AA38" s="68" t="str">
        <f>IF(AND('Mapa final'!$Y$27="Baja",'Mapa final'!$AA$27="Moderado"),CONCATENATE("R3C",'Mapa final'!$O$27),"")</f>
        <v/>
      </c>
      <c r="AB38" s="51" t="str">
        <f>IF(AND('Mapa final'!$Y$22="Baja",'Mapa final'!$AA$22="Mayor"),CONCATENATE("R3C",'Mapa final'!$O$22),"")</f>
        <v/>
      </c>
      <c r="AC38" s="52" t="str">
        <f>IF(AND('Mapa final'!$Y$23="Baja",'Mapa final'!$AA$23="Mayor"),CONCATENATE("R3C",'Mapa final'!$O$23),"")</f>
        <v/>
      </c>
      <c r="AD38" s="52" t="str">
        <f>IF(AND('Mapa final'!$Y$24="Baja",'Mapa final'!$AA$24="Mayor"),CONCATENATE("R3C",'Mapa final'!$O$24),"")</f>
        <v/>
      </c>
      <c r="AE38" s="52" t="str">
        <f>IF(AND('Mapa final'!$Y$25="Baja",'Mapa final'!$AA$25="Mayor"),CONCATENATE("R3C",'Mapa final'!$O$25),"")</f>
        <v/>
      </c>
      <c r="AF38" s="52" t="str">
        <f>IF(AND('Mapa final'!$Y$26="Baja",'Mapa final'!$AA$26="Mayor"),CONCATENATE("R3C",'Mapa final'!$O$26),"")</f>
        <v/>
      </c>
      <c r="AG38" s="53" t="str">
        <f>IF(AND('Mapa final'!$Y$27="Baja",'Mapa final'!$AA$27="Mayor"),CONCATENATE("R3C",'Mapa final'!$O$27),"")</f>
        <v/>
      </c>
      <c r="AH38" s="54" t="str">
        <f>IF(AND('Mapa final'!$Y$22="Baja",'Mapa final'!$AA$22="Catastrófico"),CONCATENATE("R3C",'Mapa final'!$O$22),"")</f>
        <v/>
      </c>
      <c r="AI38" s="55" t="str">
        <f>IF(AND('Mapa final'!$Y$23="Baja",'Mapa final'!$AA$23="Catastrófico"),CONCATENATE("R3C",'Mapa final'!$O$23),"")</f>
        <v/>
      </c>
      <c r="AJ38" s="55" t="str">
        <f>IF(AND('Mapa final'!$Y$24="Baja",'Mapa final'!$AA$24="Catastrófico"),CONCATENATE("R3C",'Mapa final'!$O$24),"")</f>
        <v/>
      </c>
      <c r="AK38" s="55" t="str">
        <f>IF(AND('Mapa final'!$Y$25="Baja",'Mapa final'!$AA$25="Catastrófico"),CONCATENATE("R3C",'Mapa final'!$O$25),"")</f>
        <v/>
      </c>
      <c r="AL38" s="55" t="str">
        <f>IF(AND('Mapa final'!$Y$26="Baja",'Mapa final'!$AA$26="Catastrófico"),CONCATENATE("R3C",'Mapa final'!$O$26),"")</f>
        <v/>
      </c>
      <c r="AM38" s="56" t="str">
        <f>IF(AND('Mapa final'!$Y$27="Baja",'Mapa final'!$AA$27="Catastrófico"),CONCATENATE("R3C",'Mapa final'!$O$27),"")</f>
        <v/>
      </c>
      <c r="AN38" s="82"/>
      <c r="AO38" s="422"/>
      <c r="AP38" s="423"/>
      <c r="AQ38" s="423"/>
      <c r="AR38" s="423"/>
      <c r="AS38" s="423"/>
      <c r="AT38" s="424"/>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3">
      <c r="A39" s="82"/>
      <c r="B39" s="350"/>
      <c r="C39" s="350"/>
      <c r="D39" s="351"/>
      <c r="E39" s="391"/>
      <c r="F39" s="392"/>
      <c r="G39" s="392"/>
      <c r="H39" s="392"/>
      <c r="I39" s="392"/>
      <c r="J39" s="75" t="str">
        <f>IF(AND('Mapa final'!$Y$28="Baja",'Mapa final'!$AA$28="Leve"),CONCATENATE("R4C",'Mapa final'!$O$28),"")</f>
        <v/>
      </c>
      <c r="K39" s="76" t="str">
        <f>IF(AND('Mapa final'!$Y$29="Baja",'Mapa final'!$AA$29="Leve"),CONCATENATE("R4C",'Mapa final'!$O$29),"")</f>
        <v/>
      </c>
      <c r="L39" s="76" t="str">
        <f>IF(AND('Mapa final'!$Y$30="Baja",'Mapa final'!$AA$30="Leve"),CONCATENATE("R4C",'Mapa final'!$O$30),"")</f>
        <v/>
      </c>
      <c r="M39" s="76" t="str">
        <f>IF(AND('Mapa final'!$Y$31="Baja",'Mapa final'!$AA$31="Leve"),CONCATENATE("R4C",'Mapa final'!$O$31),"")</f>
        <v/>
      </c>
      <c r="N39" s="76" t="str">
        <f>IF(AND('Mapa final'!$Y$32="Baja",'Mapa final'!$AA$32="Leve"),CONCATENATE("R4C",'Mapa final'!$O$32),"")</f>
        <v/>
      </c>
      <c r="O39" s="77" t="str">
        <f>IF(AND('Mapa final'!$Y$33="Baja",'Mapa final'!$AA$33="Leve"),CONCATENATE("R4C",'Mapa final'!$O$33),"")</f>
        <v/>
      </c>
      <c r="P39" s="66" t="str">
        <f>IF(AND('Mapa final'!$Y$28="Baja",'Mapa final'!$AA$28="Menor"),CONCATENATE("R4C",'Mapa final'!$O$28),"")</f>
        <v/>
      </c>
      <c r="Q39" s="67" t="str">
        <f>IF(AND('Mapa final'!$Y$29="Baja",'Mapa final'!$AA$29="Menor"),CONCATENATE("R4C",'Mapa final'!$O$29),"")</f>
        <v/>
      </c>
      <c r="R39" s="67" t="str">
        <f>IF(AND('Mapa final'!$Y$30="Baja",'Mapa final'!$AA$30="Menor"),CONCATENATE("R4C",'Mapa final'!$O$30),"")</f>
        <v/>
      </c>
      <c r="S39" s="67" t="str">
        <f>IF(AND('Mapa final'!$Y$31="Baja",'Mapa final'!$AA$31="Menor"),CONCATENATE("R4C",'Mapa final'!$O$31),"")</f>
        <v/>
      </c>
      <c r="T39" s="67" t="str">
        <f>IF(AND('Mapa final'!$Y$32="Baja",'Mapa final'!$AA$32="Menor"),CONCATENATE("R4C",'Mapa final'!$O$32),"")</f>
        <v/>
      </c>
      <c r="U39" s="68" t="str">
        <f>IF(AND('Mapa final'!$Y$33="Baja",'Mapa final'!$AA$33="Menor"),CONCATENATE("R4C",'Mapa final'!$O$33),"")</f>
        <v/>
      </c>
      <c r="V39" s="66" t="str">
        <f>IF(AND('Mapa final'!$Y$28="Baja",'Mapa final'!$AA$28="Moderado"),CONCATENATE("R4C",'Mapa final'!$O$28),"")</f>
        <v/>
      </c>
      <c r="W39" s="67" t="str">
        <f>IF(AND('Mapa final'!$Y$29="Baja",'Mapa final'!$AA$29="Moderado"),CONCATENATE("R4C",'Mapa final'!$O$29),"")</f>
        <v/>
      </c>
      <c r="X39" s="67" t="str">
        <f>IF(AND('Mapa final'!$Y$30="Baja",'Mapa final'!$AA$30="Moderado"),CONCATENATE("R4C",'Mapa final'!$O$30),"")</f>
        <v/>
      </c>
      <c r="Y39" s="67" t="str">
        <f>IF(AND('Mapa final'!$Y$31="Baja",'Mapa final'!$AA$31="Moderado"),CONCATENATE("R4C",'Mapa final'!$O$31),"")</f>
        <v/>
      </c>
      <c r="Z39" s="67" t="str">
        <f>IF(AND('Mapa final'!$Y$32="Baja",'Mapa final'!$AA$32="Moderado"),CONCATENATE("R4C",'Mapa final'!$O$32),"")</f>
        <v/>
      </c>
      <c r="AA39" s="68" t="str">
        <f>IF(AND('Mapa final'!$Y$33="Baja",'Mapa final'!$AA$33="Moderado"),CONCATENATE("R4C",'Mapa final'!$O$33),"")</f>
        <v/>
      </c>
      <c r="AB39" s="51" t="str">
        <f>IF(AND('Mapa final'!$Y$28="Baja",'Mapa final'!$AA$28="Mayor"),CONCATENATE("R4C",'Mapa final'!$O$28),"")</f>
        <v/>
      </c>
      <c r="AC39" s="52" t="str">
        <f>IF(AND('Mapa final'!$Y$29="Baja",'Mapa final'!$AA$29="Mayor"),CONCATENATE("R4C",'Mapa final'!$O$29),"")</f>
        <v/>
      </c>
      <c r="AD39" s="52" t="str">
        <f>IF(AND('Mapa final'!$Y$30="Baja",'Mapa final'!$AA$30="Mayor"),CONCATENATE("R4C",'Mapa final'!$O$30),"")</f>
        <v/>
      </c>
      <c r="AE39" s="52" t="str">
        <f>IF(AND('Mapa final'!$Y$31="Baja",'Mapa final'!$AA$31="Mayor"),CONCATENATE("R4C",'Mapa final'!$O$31),"")</f>
        <v/>
      </c>
      <c r="AF39" s="52" t="str">
        <f>IF(AND('Mapa final'!$Y$32="Baja",'Mapa final'!$AA$32="Mayor"),CONCATENATE("R4C",'Mapa final'!$O$32),"")</f>
        <v/>
      </c>
      <c r="AG39" s="53" t="str">
        <f>IF(AND('Mapa final'!$Y$33="Baja",'Mapa final'!$AA$33="Mayor"),CONCATENATE("R4C",'Mapa final'!$O$33),"")</f>
        <v/>
      </c>
      <c r="AH39" s="54" t="str">
        <f>IF(AND('Mapa final'!$Y$28="Baja",'Mapa final'!$AA$28="Catastrófico"),CONCATENATE("R4C",'Mapa final'!$O$28),"")</f>
        <v/>
      </c>
      <c r="AI39" s="55" t="str">
        <f>IF(AND('Mapa final'!$Y$29="Baja",'Mapa final'!$AA$29="Catastrófico"),CONCATENATE("R4C",'Mapa final'!$O$29),"")</f>
        <v/>
      </c>
      <c r="AJ39" s="55" t="str">
        <f>IF(AND('Mapa final'!$Y$30="Baja",'Mapa final'!$AA$30="Catastrófico"),CONCATENATE("R4C",'Mapa final'!$O$30),"")</f>
        <v/>
      </c>
      <c r="AK39" s="55" t="str">
        <f>IF(AND('Mapa final'!$Y$31="Baja",'Mapa final'!$AA$31="Catastrófico"),CONCATENATE("R4C",'Mapa final'!$O$31),"")</f>
        <v/>
      </c>
      <c r="AL39" s="55" t="str">
        <f>IF(AND('Mapa final'!$Y$32="Baja",'Mapa final'!$AA$32="Catastrófico"),CONCATENATE("R4C",'Mapa final'!$O$32),"")</f>
        <v/>
      </c>
      <c r="AM39" s="56" t="str">
        <f>IF(AND('Mapa final'!$Y$33="Baja",'Mapa final'!$AA$33="Catastrófico"),CONCATENATE("R4C",'Mapa final'!$O$33),"")</f>
        <v/>
      </c>
      <c r="AN39" s="82"/>
      <c r="AO39" s="422"/>
      <c r="AP39" s="423"/>
      <c r="AQ39" s="423"/>
      <c r="AR39" s="423"/>
      <c r="AS39" s="423"/>
      <c r="AT39" s="424"/>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3">
      <c r="A40" s="82"/>
      <c r="B40" s="350"/>
      <c r="C40" s="350"/>
      <c r="D40" s="351"/>
      <c r="E40" s="391"/>
      <c r="F40" s="392"/>
      <c r="G40" s="392"/>
      <c r="H40" s="392"/>
      <c r="I40" s="392"/>
      <c r="J40" s="75" t="str">
        <f>IF(AND('Mapa final'!$Y$34="Baja",'Mapa final'!$AA$34="Leve"),CONCATENATE("R5C",'Mapa final'!$O$34),"")</f>
        <v/>
      </c>
      <c r="K40" s="76" t="e">
        <f>IF(AND('Mapa final'!#REF!="Baja",'Mapa final'!#REF!="Leve"),CONCATENATE("R5C",'Mapa final'!#REF!),"")</f>
        <v>#REF!</v>
      </c>
      <c r="L40" s="76" t="e">
        <f>IF(AND('Mapa final'!#REF!="Baja",'Mapa final'!#REF!="Leve"),CONCATENATE("R5C",'Mapa final'!#REF!),"")</f>
        <v>#REF!</v>
      </c>
      <c r="M40" s="76" t="e">
        <f>IF(AND('Mapa final'!#REF!="Baja",'Mapa final'!#REF!="Leve"),CONCATENATE("R5C",'Mapa final'!#REF!),"")</f>
        <v>#REF!</v>
      </c>
      <c r="N40" s="76" t="str">
        <f>IF(AND('Mapa final'!$Y$35="Baja",'Mapa final'!$AA$35="Leve"),CONCATENATE("R5C",'Mapa final'!$O$35),"")</f>
        <v/>
      </c>
      <c r="O40" s="77" t="str">
        <f>IF(AND('Mapa final'!$Y$36="Baja",'Mapa final'!$AA$36="Leve"),CONCATENATE("R5C",'Mapa final'!$O$36),"")</f>
        <v/>
      </c>
      <c r="P40" s="66" t="str">
        <f>IF(AND('Mapa final'!$Y$34="Baja",'Mapa final'!$AA$34="Menor"),CONCATENATE("R5C",'Mapa final'!$O$34),"")</f>
        <v/>
      </c>
      <c r="Q40" s="67" t="e">
        <f>IF(AND('Mapa final'!#REF!="Baja",'Mapa final'!#REF!="Menor"),CONCATENATE("R5C",'Mapa final'!#REF!),"")</f>
        <v>#REF!</v>
      </c>
      <c r="R40" s="67" t="e">
        <f>IF(AND('Mapa final'!#REF!="Baja",'Mapa final'!#REF!="Menor"),CONCATENATE("R5C",'Mapa final'!#REF!),"")</f>
        <v>#REF!</v>
      </c>
      <c r="S40" s="67" t="e">
        <f>IF(AND('Mapa final'!#REF!="Baja",'Mapa final'!#REF!="Menor"),CONCATENATE("R5C",'Mapa final'!#REF!),"")</f>
        <v>#REF!</v>
      </c>
      <c r="T40" s="67" t="str">
        <f>IF(AND('Mapa final'!$Y$35="Baja",'Mapa final'!$AA$35="Menor"),CONCATENATE("R5C",'Mapa final'!$O$35),"")</f>
        <v/>
      </c>
      <c r="U40" s="68" t="str">
        <f>IF(AND('Mapa final'!$Y$36="Baja",'Mapa final'!$AA$36="Menor"),CONCATENATE("R5C",'Mapa final'!$O$36),"")</f>
        <v/>
      </c>
      <c r="V40" s="66" t="str">
        <f>IF(AND('Mapa final'!$Y$34="Baja",'Mapa final'!$AA$34="Moderado"),CONCATENATE("R5C",'Mapa final'!$O$34),"")</f>
        <v/>
      </c>
      <c r="W40" s="67" t="e">
        <f>IF(AND('Mapa final'!#REF!="Baja",'Mapa final'!#REF!="Moderado"),CONCATENATE("R5C",'Mapa final'!#REF!),"")</f>
        <v>#REF!</v>
      </c>
      <c r="X40" s="67" t="e">
        <f>IF(AND('Mapa final'!#REF!="Baja",'Mapa final'!#REF!="Moderado"),CONCATENATE("R5C",'Mapa final'!#REF!),"")</f>
        <v>#REF!</v>
      </c>
      <c r="Y40" s="67" t="e">
        <f>IF(AND('Mapa final'!#REF!="Baja",'Mapa final'!#REF!="Moderado"),CONCATENATE("R5C",'Mapa final'!#REF!),"")</f>
        <v>#REF!</v>
      </c>
      <c r="Z40" s="67" t="str">
        <f>IF(AND('Mapa final'!$Y$35="Baja",'Mapa final'!$AA$35="Moderado"),CONCATENATE("R5C",'Mapa final'!$O$35),"")</f>
        <v/>
      </c>
      <c r="AA40" s="68" t="str">
        <f>IF(AND('Mapa final'!$Y$36="Baja",'Mapa final'!$AA$36="Moderado"),CONCATENATE("R5C",'Mapa final'!$O$36),"")</f>
        <v/>
      </c>
      <c r="AB40" s="51" t="str">
        <f>IF(AND('Mapa final'!$Y$34="Baja",'Mapa final'!$AA$34="Mayor"),CONCATENATE("R5C",'Mapa final'!$O$34),"")</f>
        <v/>
      </c>
      <c r="AC40" s="52" t="e">
        <f>IF(AND('Mapa final'!#REF!="Baja",'Mapa final'!#REF!="Mayor"),CONCATENATE("R5C",'Mapa final'!#REF!),"")</f>
        <v>#REF!</v>
      </c>
      <c r="AD40" s="52" t="e">
        <f>IF(AND('Mapa final'!#REF!="Baja",'Mapa final'!#REF!="Mayor"),CONCATENATE("R5C",'Mapa final'!#REF!),"")</f>
        <v>#REF!</v>
      </c>
      <c r="AE40" s="52" t="e">
        <f>IF(AND('Mapa final'!#REF!="Baja",'Mapa final'!#REF!="Mayor"),CONCATENATE("R5C",'Mapa final'!#REF!),"")</f>
        <v>#REF!</v>
      </c>
      <c r="AF40" s="52" t="str">
        <f>IF(AND('Mapa final'!$Y$35="Baja",'Mapa final'!$AA$35="Mayor"),CONCATENATE("R5C",'Mapa final'!$O$35),"")</f>
        <v/>
      </c>
      <c r="AG40" s="53" t="str">
        <f>IF(AND('Mapa final'!$Y$36="Baja",'Mapa final'!$AA$36="Mayor"),CONCATENATE("R5C",'Mapa final'!$O$36),"")</f>
        <v/>
      </c>
      <c r="AH40" s="54" t="str">
        <f>IF(AND('Mapa final'!$Y$34="Baja",'Mapa final'!$AA$34="Catastrófico"),CONCATENATE("R5C",'Mapa final'!$O$34),"")</f>
        <v/>
      </c>
      <c r="AI40" s="55" t="e">
        <f>IF(AND('Mapa final'!#REF!="Baja",'Mapa final'!#REF!="Catastrófico"),CONCATENATE("R5C",'Mapa final'!#REF!),"")</f>
        <v>#REF!</v>
      </c>
      <c r="AJ40" s="55" t="e">
        <f>IF(AND('Mapa final'!#REF!="Baja",'Mapa final'!#REF!="Catastrófico"),CONCATENATE("R5C",'Mapa final'!#REF!),"")</f>
        <v>#REF!</v>
      </c>
      <c r="AK40" s="55" t="e">
        <f>IF(AND('Mapa final'!#REF!="Baja",'Mapa final'!#REF!="Catastrófico"),CONCATENATE("R5C",'Mapa final'!#REF!),"")</f>
        <v>#REF!</v>
      </c>
      <c r="AL40" s="55" t="str">
        <f>IF(AND('Mapa final'!$Y$35="Baja",'Mapa final'!$AA$35="Catastrófico"),CONCATENATE("R5C",'Mapa final'!$O$35),"")</f>
        <v/>
      </c>
      <c r="AM40" s="56" t="str">
        <f>IF(AND('Mapa final'!$Y$36="Baja",'Mapa final'!$AA$36="Catastrófico"),CONCATENATE("R5C",'Mapa final'!$O$36),"")</f>
        <v/>
      </c>
      <c r="AN40" s="82"/>
      <c r="AO40" s="422"/>
      <c r="AP40" s="423"/>
      <c r="AQ40" s="423"/>
      <c r="AR40" s="423"/>
      <c r="AS40" s="423"/>
      <c r="AT40" s="424"/>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3">
      <c r="A41" s="82"/>
      <c r="B41" s="350"/>
      <c r="C41" s="350"/>
      <c r="D41" s="351"/>
      <c r="E41" s="391"/>
      <c r="F41" s="392"/>
      <c r="G41" s="392"/>
      <c r="H41" s="392"/>
      <c r="I41" s="392"/>
      <c r="J41" s="75" t="str">
        <f>IF(AND('Mapa final'!$Y$37="Baja",'Mapa final'!$AA$37="Leve"),CONCATENATE("R6C",'Mapa final'!$O$37),"")</f>
        <v/>
      </c>
      <c r="K41" s="76" t="str">
        <f>IF(AND('Mapa final'!$Y$38="Baja",'Mapa final'!$AA$38="Leve"),CONCATENATE("R6C",'Mapa final'!$O$38),"")</f>
        <v/>
      </c>
      <c r="L41" s="76" t="str">
        <f>IF(AND('Mapa final'!$Y$39="Baja",'Mapa final'!$AA$39="Leve"),CONCATENATE("R6C",'Mapa final'!$O$39),"")</f>
        <v/>
      </c>
      <c r="M41" s="76" t="str">
        <f>IF(AND('Mapa final'!$Y$40="Baja",'Mapa final'!$AA$40="Leve"),CONCATENATE("R6C",'Mapa final'!$O$40),"")</f>
        <v/>
      </c>
      <c r="N41" s="76" t="str">
        <f>IF(AND('Mapa final'!$Y$41="Baja",'Mapa final'!$AA$41="Leve"),CONCATENATE("R6C",'Mapa final'!$O$41),"")</f>
        <v/>
      </c>
      <c r="O41" s="77" t="str">
        <f>IF(AND('Mapa final'!$Y$42="Baja",'Mapa final'!$AA$42="Leve"),CONCATENATE("R6C",'Mapa final'!$O$42),"")</f>
        <v/>
      </c>
      <c r="P41" s="66" t="str">
        <f>IF(AND('Mapa final'!$Y$37="Baja",'Mapa final'!$AA$37="Menor"),CONCATENATE("R6C",'Mapa final'!$O$37),"")</f>
        <v/>
      </c>
      <c r="Q41" s="67" t="str">
        <f>IF(AND('Mapa final'!$Y$38="Baja",'Mapa final'!$AA$38="Menor"),CONCATENATE("R6C",'Mapa final'!$O$38),"")</f>
        <v/>
      </c>
      <c r="R41" s="67" t="str">
        <f>IF(AND('Mapa final'!$Y$39="Baja",'Mapa final'!$AA$39="Menor"),CONCATENATE("R6C",'Mapa final'!$O$39),"")</f>
        <v/>
      </c>
      <c r="S41" s="67" t="str">
        <f>IF(AND('Mapa final'!$Y$40="Baja",'Mapa final'!$AA$40="Menor"),CONCATENATE("R6C",'Mapa final'!$O$40),"")</f>
        <v/>
      </c>
      <c r="T41" s="67" t="str">
        <f>IF(AND('Mapa final'!$Y$41="Baja",'Mapa final'!$AA$41="Menor"),CONCATENATE("R6C",'Mapa final'!$O$41),"")</f>
        <v/>
      </c>
      <c r="U41" s="68" t="str">
        <f>IF(AND('Mapa final'!$Y$42="Baja",'Mapa final'!$AA$42="Menor"),CONCATENATE("R6C",'Mapa final'!$O$42),"")</f>
        <v/>
      </c>
      <c r="V41" s="66" t="str">
        <f>IF(AND('Mapa final'!$Y$37="Baja",'Mapa final'!$AA$37="Moderado"),CONCATENATE("R6C",'Mapa final'!$O$37),"")</f>
        <v>R6C1</v>
      </c>
      <c r="W41" s="67" t="str">
        <f>IF(AND('Mapa final'!$Y$38="Baja",'Mapa final'!$AA$38="Moderado"),CONCATENATE("R6C",'Mapa final'!$O$38),"")</f>
        <v/>
      </c>
      <c r="X41" s="67" t="str">
        <f>IF(AND('Mapa final'!$Y$39="Baja",'Mapa final'!$AA$39="Moderado"),CONCATENATE("R6C",'Mapa final'!$O$39),"")</f>
        <v/>
      </c>
      <c r="Y41" s="67" t="str">
        <f>IF(AND('Mapa final'!$Y$40="Baja",'Mapa final'!$AA$40="Moderado"),CONCATENATE("R6C",'Mapa final'!$O$40),"")</f>
        <v/>
      </c>
      <c r="Z41" s="67" t="str">
        <f>IF(AND('Mapa final'!$Y$41="Baja",'Mapa final'!$AA$41="Moderado"),CONCATENATE("R6C",'Mapa final'!$O$41),"")</f>
        <v/>
      </c>
      <c r="AA41" s="68" t="str">
        <f>IF(AND('Mapa final'!$Y$42="Baja",'Mapa final'!$AA$42="Moderado"),CONCATENATE("R6C",'Mapa final'!$O$42),"")</f>
        <v/>
      </c>
      <c r="AB41" s="51" t="str">
        <f>IF(AND('Mapa final'!$Y$37="Baja",'Mapa final'!$AA$37="Mayor"),CONCATENATE("R6C",'Mapa final'!$O$37),"")</f>
        <v/>
      </c>
      <c r="AC41" s="52" t="str">
        <f>IF(AND('Mapa final'!$Y$38="Baja",'Mapa final'!$AA$38="Mayor"),CONCATENATE("R6C",'Mapa final'!$O$38),"")</f>
        <v/>
      </c>
      <c r="AD41" s="52" t="str">
        <f>IF(AND('Mapa final'!$Y$39="Baja",'Mapa final'!$AA$39="Mayor"),CONCATENATE("R6C",'Mapa final'!$O$39),"")</f>
        <v/>
      </c>
      <c r="AE41" s="52" t="str">
        <f>IF(AND('Mapa final'!$Y$40="Baja",'Mapa final'!$AA$40="Mayor"),CONCATENATE("R6C",'Mapa final'!$O$40),"")</f>
        <v/>
      </c>
      <c r="AF41" s="52" t="str">
        <f>IF(AND('Mapa final'!$Y$41="Baja",'Mapa final'!$AA$41="Mayor"),CONCATENATE("R6C",'Mapa final'!$O$41),"")</f>
        <v/>
      </c>
      <c r="AG41" s="53" t="str">
        <f>IF(AND('Mapa final'!$Y$42="Baja",'Mapa final'!$AA$42="Mayor"),CONCATENATE("R6C",'Mapa final'!$O$42),"")</f>
        <v/>
      </c>
      <c r="AH41" s="54" t="str">
        <f>IF(AND('Mapa final'!$Y$37="Baja",'Mapa final'!$AA$37="Catastrófico"),CONCATENATE("R6C",'Mapa final'!$O$37),"")</f>
        <v/>
      </c>
      <c r="AI41" s="55" t="str">
        <f>IF(AND('Mapa final'!$Y$38="Baja",'Mapa final'!$AA$38="Catastrófico"),CONCATENATE("R6C",'Mapa final'!$O$38),"")</f>
        <v/>
      </c>
      <c r="AJ41" s="55" t="str">
        <f>IF(AND('Mapa final'!$Y$39="Baja",'Mapa final'!$AA$39="Catastrófico"),CONCATENATE("R6C",'Mapa final'!$O$39),"")</f>
        <v/>
      </c>
      <c r="AK41" s="55" t="str">
        <f>IF(AND('Mapa final'!$Y$40="Baja",'Mapa final'!$AA$40="Catastrófico"),CONCATENATE("R6C",'Mapa final'!$O$40),"")</f>
        <v/>
      </c>
      <c r="AL41" s="55" t="str">
        <f>IF(AND('Mapa final'!$Y$41="Baja",'Mapa final'!$AA$41="Catastrófico"),CONCATENATE("R6C",'Mapa final'!$O$41),"")</f>
        <v/>
      </c>
      <c r="AM41" s="56" t="str">
        <f>IF(AND('Mapa final'!$Y$42="Baja",'Mapa final'!$AA$42="Catastrófico"),CONCATENATE("R6C",'Mapa final'!$O$42),"")</f>
        <v/>
      </c>
      <c r="AN41" s="82"/>
      <c r="AO41" s="422"/>
      <c r="AP41" s="423"/>
      <c r="AQ41" s="423"/>
      <c r="AR41" s="423"/>
      <c r="AS41" s="423"/>
      <c r="AT41" s="424"/>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3">
      <c r="A42" s="82"/>
      <c r="B42" s="350"/>
      <c r="C42" s="350"/>
      <c r="D42" s="351"/>
      <c r="E42" s="391"/>
      <c r="F42" s="392"/>
      <c r="G42" s="392"/>
      <c r="H42" s="392"/>
      <c r="I42" s="392"/>
      <c r="J42" s="75" t="str">
        <f>IF(AND('Mapa final'!$Y$43="Baja",'Mapa final'!$AA$43="Leve"),CONCATENATE("R7C",'Mapa final'!$O$43),"")</f>
        <v/>
      </c>
      <c r="K42" s="76" t="str">
        <f>IF(AND('Mapa final'!$Y$44="Baja",'Mapa final'!$AA$44="Leve"),CONCATENATE("R7C",'Mapa final'!$O$44),"")</f>
        <v/>
      </c>
      <c r="L42" s="76" t="str">
        <f>IF(AND('Mapa final'!$Y$45="Baja",'Mapa final'!$AA$45="Leve"),CONCATENATE("R7C",'Mapa final'!$O$45),"")</f>
        <v/>
      </c>
      <c r="M42" s="76" t="str">
        <f>IF(AND('Mapa final'!$Y$46="Baja",'Mapa final'!$AA$46="Leve"),CONCATENATE("R7C",'Mapa final'!$O$46),"")</f>
        <v/>
      </c>
      <c r="N42" s="76" t="str">
        <f>IF(AND('Mapa final'!$Y$47="Baja",'Mapa final'!$AA$47="Leve"),CONCATENATE("R7C",'Mapa final'!$O$47),"")</f>
        <v/>
      </c>
      <c r="O42" s="77" t="str">
        <f>IF(AND('Mapa final'!$Y$48="Baja",'Mapa final'!$AA$48="Leve"),CONCATENATE("R7C",'Mapa final'!$O$48),"")</f>
        <v/>
      </c>
      <c r="P42" s="66" t="str">
        <f>IF(AND('Mapa final'!$Y$43="Baja",'Mapa final'!$AA$43="Menor"),CONCATENATE("R7C",'Mapa final'!$O$43),"")</f>
        <v/>
      </c>
      <c r="Q42" s="67" t="str">
        <f>IF(AND('Mapa final'!$Y$44="Baja",'Mapa final'!$AA$44="Menor"),CONCATENATE("R7C",'Mapa final'!$O$44),"")</f>
        <v/>
      </c>
      <c r="R42" s="67" t="str">
        <f>IF(AND('Mapa final'!$Y$45="Baja",'Mapa final'!$AA$45="Menor"),CONCATENATE("R7C",'Mapa final'!$O$45),"")</f>
        <v/>
      </c>
      <c r="S42" s="67" t="str">
        <f>IF(AND('Mapa final'!$Y$46="Baja",'Mapa final'!$AA$46="Menor"),CONCATENATE("R7C",'Mapa final'!$O$46),"")</f>
        <v/>
      </c>
      <c r="T42" s="67" t="str">
        <f>IF(AND('Mapa final'!$Y$47="Baja",'Mapa final'!$AA$47="Menor"),CONCATENATE("R7C",'Mapa final'!$O$47),"")</f>
        <v/>
      </c>
      <c r="U42" s="68" t="str">
        <f>IF(AND('Mapa final'!$Y$48="Baja",'Mapa final'!$AA$48="Menor"),CONCATENATE("R7C",'Mapa final'!$O$48),"")</f>
        <v/>
      </c>
      <c r="V42" s="66" t="str">
        <f>IF(AND('Mapa final'!$Y$43="Baja",'Mapa final'!$AA$43="Moderado"),CONCATENATE("R7C",'Mapa final'!$O$43),"")</f>
        <v>R7C1</v>
      </c>
      <c r="W42" s="67" t="str">
        <f>IF(AND('Mapa final'!$Y$44="Baja",'Mapa final'!$AA$44="Moderado"),CONCATENATE("R7C",'Mapa final'!$O$44),"")</f>
        <v/>
      </c>
      <c r="X42" s="67" t="str">
        <f>IF(AND('Mapa final'!$Y$45="Baja",'Mapa final'!$AA$45="Moderado"),CONCATENATE("R7C",'Mapa final'!$O$45),"")</f>
        <v/>
      </c>
      <c r="Y42" s="67" t="str">
        <f>IF(AND('Mapa final'!$Y$46="Baja",'Mapa final'!$AA$46="Moderado"),CONCATENATE("R7C",'Mapa final'!$O$46),"")</f>
        <v/>
      </c>
      <c r="Z42" s="67" t="str">
        <f>IF(AND('Mapa final'!$Y$47="Baja",'Mapa final'!$AA$47="Moderado"),CONCATENATE("R7C",'Mapa final'!$O$47),"")</f>
        <v/>
      </c>
      <c r="AA42" s="68" t="str">
        <f>IF(AND('Mapa final'!$Y$48="Baja",'Mapa final'!$AA$48="Moderado"),CONCATENATE("R7C",'Mapa final'!$O$48),"")</f>
        <v/>
      </c>
      <c r="AB42" s="51" t="str">
        <f>IF(AND('Mapa final'!$Y$43="Baja",'Mapa final'!$AA$43="Mayor"),CONCATENATE("R7C",'Mapa final'!$O$43),"")</f>
        <v/>
      </c>
      <c r="AC42" s="52" t="str">
        <f>IF(AND('Mapa final'!$Y$44="Baja",'Mapa final'!$AA$44="Mayor"),CONCATENATE("R7C",'Mapa final'!$O$44),"")</f>
        <v/>
      </c>
      <c r="AD42" s="52" t="str">
        <f>IF(AND('Mapa final'!$Y$45="Baja",'Mapa final'!$AA$45="Mayor"),CONCATENATE("R7C",'Mapa final'!$O$45),"")</f>
        <v/>
      </c>
      <c r="AE42" s="52" t="str">
        <f>IF(AND('Mapa final'!$Y$46="Baja",'Mapa final'!$AA$46="Mayor"),CONCATENATE("R7C",'Mapa final'!$O$46),"")</f>
        <v/>
      </c>
      <c r="AF42" s="52" t="str">
        <f>IF(AND('Mapa final'!$Y$47="Baja",'Mapa final'!$AA$47="Mayor"),CONCATENATE("R7C",'Mapa final'!$O$47),"")</f>
        <v/>
      </c>
      <c r="AG42" s="53" t="str">
        <f>IF(AND('Mapa final'!$Y$48="Baja",'Mapa final'!$AA$48="Mayor"),CONCATENATE("R7C",'Mapa final'!$O$48),"")</f>
        <v/>
      </c>
      <c r="AH42" s="54" t="str">
        <f>IF(AND('Mapa final'!$Y$43="Baja",'Mapa final'!$AA$43="Catastrófico"),CONCATENATE("R7C",'Mapa final'!$O$43),"")</f>
        <v/>
      </c>
      <c r="AI42" s="55" t="str">
        <f>IF(AND('Mapa final'!$Y$44="Baja",'Mapa final'!$AA$44="Catastrófico"),CONCATENATE("R7C",'Mapa final'!$O$44),"")</f>
        <v/>
      </c>
      <c r="AJ42" s="55" t="str">
        <f>IF(AND('Mapa final'!$Y$45="Baja",'Mapa final'!$AA$45="Catastrófico"),CONCATENATE("R7C",'Mapa final'!$O$45),"")</f>
        <v/>
      </c>
      <c r="AK42" s="55" t="str">
        <f>IF(AND('Mapa final'!$Y$46="Baja",'Mapa final'!$AA$46="Catastrófico"),CONCATENATE("R7C",'Mapa final'!$O$46),"")</f>
        <v/>
      </c>
      <c r="AL42" s="55" t="str">
        <f>IF(AND('Mapa final'!$Y$47="Baja",'Mapa final'!$AA$47="Catastrófico"),CONCATENATE("R7C",'Mapa final'!$O$47),"")</f>
        <v/>
      </c>
      <c r="AM42" s="56" t="str">
        <f>IF(AND('Mapa final'!$Y$48="Baja",'Mapa final'!$AA$48="Catastrófico"),CONCATENATE("R7C",'Mapa final'!$O$48),"")</f>
        <v/>
      </c>
      <c r="AN42" s="82"/>
      <c r="AO42" s="422"/>
      <c r="AP42" s="423"/>
      <c r="AQ42" s="423"/>
      <c r="AR42" s="423"/>
      <c r="AS42" s="423"/>
      <c r="AT42" s="424"/>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3">
      <c r="A43" s="82"/>
      <c r="B43" s="350"/>
      <c r="C43" s="350"/>
      <c r="D43" s="351"/>
      <c r="E43" s="391"/>
      <c r="F43" s="392"/>
      <c r="G43" s="392"/>
      <c r="H43" s="392"/>
      <c r="I43" s="392"/>
      <c r="J43" s="75" t="str">
        <f>IF(AND('Mapa final'!$Y$49="Baja",'Mapa final'!$AA$49="Leve"),CONCATENATE("R8C",'Mapa final'!$O$49),"")</f>
        <v/>
      </c>
      <c r="K43" s="76" t="str">
        <f>IF(AND('Mapa final'!$Y$50="Baja",'Mapa final'!$AA$50="Leve"),CONCATENATE("R8C",'Mapa final'!$O$50),"")</f>
        <v/>
      </c>
      <c r="L43" s="76" t="str">
        <f>IF(AND('Mapa final'!$Y$51="Baja",'Mapa final'!$AA$51="Leve"),CONCATENATE("R8C",'Mapa final'!$O$51),"")</f>
        <v/>
      </c>
      <c r="M43" s="76" t="str">
        <f>IF(AND('Mapa final'!$Y$52="Baja",'Mapa final'!$AA$52="Leve"),CONCATENATE("R8C",'Mapa final'!$O$52),"")</f>
        <v/>
      </c>
      <c r="N43" s="76" t="str">
        <f>IF(AND('Mapa final'!$Y$53="Baja",'Mapa final'!$AA$53="Leve"),CONCATENATE("R8C",'Mapa final'!$O$53),"")</f>
        <v/>
      </c>
      <c r="O43" s="77" t="str">
        <f>IF(AND('Mapa final'!$Y$54="Baja",'Mapa final'!$AA$54="Leve"),CONCATENATE("R8C",'Mapa final'!$O$54),"")</f>
        <v/>
      </c>
      <c r="P43" s="66" t="str">
        <f>IF(AND('Mapa final'!$Y$49="Baja",'Mapa final'!$AA$49="Menor"),CONCATENATE("R8C",'Mapa final'!$O$49),"")</f>
        <v>R8C1</v>
      </c>
      <c r="Q43" s="67" t="str">
        <f>IF(AND('Mapa final'!$Y$50="Baja",'Mapa final'!$AA$50="Menor"),CONCATENATE("R8C",'Mapa final'!$O$50),"")</f>
        <v/>
      </c>
      <c r="R43" s="67" t="str">
        <f>IF(AND('Mapa final'!$Y$51="Baja",'Mapa final'!$AA$51="Menor"),CONCATENATE("R8C",'Mapa final'!$O$51),"")</f>
        <v/>
      </c>
      <c r="S43" s="67" t="str">
        <f>IF(AND('Mapa final'!$Y$52="Baja",'Mapa final'!$AA$52="Menor"),CONCATENATE("R8C",'Mapa final'!$O$52),"")</f>
        <v/>
      </c>
      <c r="T43" s="67" t="str">
        <f>IF(AND('Mapa final'!$Y$53="Baja",'Mapa final'!$AA$53="Menor"),CONCATENATE("R8C",'Mapa final'!$O$53),"")</f>
        <v/>
      </c>
      <c r="U43" s="68" t="str">
        <f>IF(AND('Mapa final'!$Y$54="Baja",'Mapa final'!$AA$54="Menor"),CONCATENATE("R8C",'Mapa final'!$O$54),"")</f>
        <v/>
      </c>
      <c r="V43" s="66" t="str">
        <f>IF(AND('Mapa final'!$Y$49="Baja",'Mapa final'!$AA$49="Moderado"),CONCATENATE("R8C",'Mapa final'!$O$49),"")</f>
        <v/>
      </c>
      <c r="W43" s="67" t="str">
        <f>IF(AND('Mapa final'!$Y$50="Baja",'Mapa final'!$AA$50="Moderado"),CONCATENATE("R8C",'Mapa final'!$O$50),"")</f>
        <v/>
      </c>
      <c r="X43" s="67" t="str">
        <f>IF(AND('Mapa final'!$Y$51="Baja",'Mapa final'!$AA$51="Moderado"),CONCATENATE("R8C",'Mapa final'!$O$51),"")</f>
        <v/>
      </c>
      <c r="Y43" s="67" t="str">
        <f>IF(AND('Mapa final'!$Y$52="Baja",'Mapa final'!$AA$52="Moderado"),CONCATENATE("R8C",'Mapa final'!$O$52),"")</f>
        <v/>
      </c>
      <c r="Z43" s="67" t="str">
        <f>IF(AND('Mapa final'!$Y$53="Baja",'Mapa final'!$AA$53="Moderado"),CONCATENATE("R8C",'Mapa final'!$O$53),"")</f>
        <v/>
      </c>
      <c r="AA43" s="68" t="str">
        <f>IF(AND('Mapa final'!$Y$54="Baja",'Mapa final'!$AA$54="Moderado"),CONCATENATE("R8C",'Mapa final'!$O$54),"")</f>
        <v/>
      </c>
      <c r="AB43" s="51" t="str">
        <f>IF(AND('Mapa final'!$Y$49="Baja",'Mapa final'!$AA$49="Mayor"),CONCATENATE("R8C",'Mapa final'!$O$49),"")</f>
        <v/>
      </c>
      <c r="AC43" s="52" t="str">
        <f>IF(AND('Mapa final'!$Y$50="Baja",'Mapa final'!$AA$50="Mayor"),CONCATENATE("R8C",'Mapa final'!$O$50),"")</f>
        <v/>
      </c>
      <c r="AD43" s="52" t="str">
        <f>IF(AND('Mapa final'!$Y$51="Baja",'Mapa final'!$AA$51="Mayor"),CONCATENATE("R8C",'Mapa final'!$O$51),"")</f>
        <v/>
      </c>
      <c r="AE43" s="52" t="str">
        <f>IF(AND('Mapa final'!$Y$52="Baja",'Mapa final'!$AA$52="Mayor"),CONCATENATE("R8C",'Mapa final'!$O$52),"")</f>
        <v/>
      </c>
      <c r="AF43" s="52" t="str">
        <f>IF(AND('Mapa final'!$Y$53="Baja",'Mapa final'!$AA$53="Mayor"),CONCATENATE("R8C",'Mapa final'!$O$53),"")</f>
        <v/>
      </c>
      <c r="AG43" s="53" t="str">
        <f>IF(AND('Mapa final'!$Y$54="Baja",'Mapa final'!$AA$54="Mayor"),CONCATENATE("R8C",'Mapa final'!$O$54),"")</f>
        <v/>
      </c>
      <c r="AH43" s="54" t="str">
        <f>IF(AND('Mapa final'!$Y$49="Baja",'Mapa final'!$AA$49="Catastrófico"),CONCATENATE("R8C",'Mapa final'!$O$49),"")</f>
        <v/>
      </c>
      <c r="AI43" s="55" t="str">
        <f>IF(AND('Mapa final'!$Y$50="Baja",'Mapa final'!$AA$50="Catastrófico"),CONCATENATE("R8C",'Mapa final'!$O$50),"")</f>
        <v/>
      </c>
      <c r="AJ43" s="55" t="str">
        <f>IF(AND('Mapa final'!$Y$51="Baja",'Mapa final'!$AA$51="Catastrófico"),CONCATENATE("R8C",'Mapa final'!$O$51),"")</f>
        <v/>
      </c>
      <c r="AK43" s="55" t="str">
        <f>IF(AND('Mapa final'!$Y$52="Baja",'Mapa final'!$AA$52="Catastrófico"),CONCATENATE("R8C",'Mapa final'!$O$52),"")</f>
        <v/>
      </c>
      <c r="AL43" s="55" t="str">
        <f>IF(AND('Mapa final'!$Y$53="Baja",'Mapa final'!$AA$53="Catastrófico"),CONCATENATE("R8C",'Mapa final'!$O$53),"")</f>
        <v/>
      </c>
      <c r="AM43" s="56" t="str">
        <f>IF(AND('Mapa final'!$Y$54="Baja",'Mapa final'!$AA$54="Catastrófico"),CONCATENATE("R8C",'Mapa final'!$O$54),"")</f>
        <v/>
      </c>
      <c r="AN43" s="82"/>
      <c r="AO43" s="422"/>
      <c r="AP43" s="423"/>
      <c r="AQ43" s="423"/>
      <c r="AR43" s="423"/>
      <c r="AS43" s="423"/>
      <c r="AT43" s="424"/>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3">
      <c r="A44" s="82"/>
      <c r="B44" s="350"/>
      <c r="C44" s="350"/>
      <c r="D44" s="351"/>
      <c r="E44" s="391"/>
      <c r="F44" s="392"/>
      <c r="G44" s="392"/>
      <c r="H44" s="392"/>
      <c r="I44" s="392"/>
      <c r="J44" s="75" t="str">
        <f>IF(AND('Mapa final'!$Y$55="Baja",'Mapa final'!$AA$55="Leve"),CONCATENATE("R9C",'Mapa final'!$O$55),"")</f>
        <v/>
      </c>
      <c r="K44" s="76" t="str">
        <f>IF(AND('Mapa final'!$Y$56="Baja",'Mapa final'!$AA$56="Leve"),CONCATENATE("R9C",'Mapa final'!$O$56),"")</f>
        <v/>
      </c>
      <c r="L44" s="76" t="str">
        <f>IF(AND('Mapa final'!$Y$57="Baja",'Mapa final'!$AA$57="Leve"),CONCATENATE("R9C",'Mapa final'!$O$57),"")</f>
        <v/>
      </c>
      <c r="M44" s="76" t="str">
        <f>IF(AND('Mapa final'!$Y$58="Baja",'Mapa final'!$AA$58="Leve"),CONCATENATE("R9C",'Mapa final'!$O$58),"")</f>
        <v/>
      </c>
      <c r="N44" s="76" t="str">
        <f>IF(AND('Mapa final'!$Y$59="Baja",'Mapa final'!$AA$59="Leve"),CONCATENATE("R9C",'Mapa final'!$O$59),"")</f>
        <v/>
      </c>
      <c r="O44" s="77" t="str">
        <f>IF(AND('Mapa final'!$Y$60="Baja",'Mapa final'!$AA$60="Leve"),CONCATENATE("R9C",'Mapa final'!$O$60),"")</f>
        <v/>
      </c>
      <c r="P44" s="66" t="str">
        <f>IF(AND('Mapa final'!$Y$55="Baja",'Mapa final'!$AA$55="Menor"),CONCATENATE("R9C",'Mapa final'!$O$55),"")</f>
        <v/>
      </c>
      <c r="Q44" s="67" t="str">
        <f>IF(AND('Mapa final'!$Y$56="Baja",'Mapa final'!$AA$56="Menor"),CONCATENATE("R9C",'Mapa final'!$O$56),"")</f>
        <v/>
      </c>
      <c r="R44" s="67" t="str">
        <f>IF(AND('Mapa final'!$Y$57="Baja",'Mapa final'!$AA$57="Menor"),CONCATENATE("R9C",'Mapa final'!$O$57),"")</f>
        <v/>
      </c>
      <c r="S44" s="67" t="str">
        <f>IF(AND('Mapa final'!$Y$58="Baja",'Mapa final'!$AA$58="Menor"),CONCATENATE("R9C",'Mapa final'!$O$58),"")</f>
        <v/>
      </c>
      <c r="T44" s="67" t="str">
        <f>IF(AND('Mapa final'!$Y$59="Baja",'Mapa final'!$AA$59="Menor"),CONCATENATE("R9C",'Mapa final'!$O$59),"")</f>
        <v/>
      </c>
      <c r="U44" s="68" t="str">
        <f>IF(AND('Mapa final'!$Y$60="Baja",'Mapa final'!$AA$60="Menor"),CONCATENATE("R9C",'Mapa final'!$O$60),"")</f>
        <v/>
      </c>
      <c r="V44" s="66" t="str">
        <f>IF(AND('Mapa final'!$Y$55="Baja",'Mapa final'!$AA$55="Moderado"),CONCATENATE("R9C",'Mapa final'!$O$55),"")</f>
        <v/>
      </c>
      <c r="W44" s="67" t="str">
        <f>IF(AND('Mapa final'!$Y$56="Baja",'Mapa final'!$AA$56="Moderado"),CONCATENATE("R9C",'Mapa final'!$O$56),"")</f>
        <v/>
      </c>
      <c r="X44" s="67" t="str">
        <f>IF(AND('Mapa final'!$Y$57="Baja",'Mapa final'!$AA$57="Moderado"),CONCATENATE("R9C",'Mapa final'!$O$57),"")</f>
        <v/>
      </c>
      <c r="Y44" s="67" t="str">
        <f>IF(AND('Mapa final'!$Y$58="Baja",'Mapa final'!$AA$58="Moderado"),CONCATENATE("R9C",'Mapa final'!$O$58),"")</f>
        <v/>
      </c>
      <c r="Z44" s="67" t="str">
        <f>IF(AND('Mapa final'!$Y$59="Baja",'Mapa final'!$AA$59="Moderado"),CONCATENATE("R9C",'Mapa final'!$O$59),"")</f>
        <v/>
      </c>
      <c r="AA44" s="68" t="str">
        <f>IF(AND('Mapa final'!$Y$60="Baja",'Mapa final'!$AA$60="Moderado"),CONCATENATE("R9C",'Mapa final'!$O$60),"")</f>
        <v/>
      </c>
      <c r="AB44" s="51" t="str">
        <f>IF(AND('Mapa final'!$Y$55="Baja",'Mapa final'!$AA$55="Mayor"),CONCATENATE("R9C",'Mapa final'!$O$55),"")</f>
        <v/>
      </c>
      <c r="AC44" s="52" t="str">
        <f>IF(AND('Mapa final'!$Y$56="Baja",'Mapa final'!$AA$56="Mayor"),CONCATENATE("R9C",'Mapa final'!$O$56),"")</f>
        <v/>
      </c>
      <c r="AD44" s="52" t="str">
        <f>IF(AND('Mapa final'!$Y$57="Baja",'Mapa final'!$AA$57="Mayor"),CONCATENATE("R9C",'Mapa final'!$O$57),"")</f>
        <v/>
      </c>
      <c r="AE44" s="52" t="str">
        <f>IF(AND('Mapa final'!$Y$58="Baja",'Mapa final'!$AA$58="Mayor"),CONCATENATE("R9C",'Mapa final'!$O$58),"")</f>
        <v/>
      </c>
      <c r="AF44" s="52" t="str">
        <f>IF(AND('Mapa final'!$Y$59="Baja",'Mapa final'!$AA$59="Mayor"),CONCATENATE("R9C",'Mapa final'!$O$59),"")</f>
        <v/>
      </c>
      <c r="AG44" s="53" t="str">
        <f>IF(AND('Mapa final'!$Y$60="Baja",'Mapa final'!$AA$60="Mayor"),CONCATENATE("R9C",'Mapa final'!$O$60),"")</f>
        <v/>
      </c>
      <c r="AH44" s="54" t="str">
        <f>IF(AND('Mapa final'!$Y$55="Baja",'Mapa final'!$AA$55="Catastrófico"),CONCATENATE("R9C",'Mapa final'!$O$55),"")</f>
        <v/>
      </c>
      <c r="AI44" s="55" t="str">
        <f>IF(AND('Mapa final'!$Y$56="Baja",'Mapa final'!$AA$56="Catastrófico"),CONCATENATE("R9C",'Mapa final'!$O$56),"")</f>
        <v/>
      </c>
      <c r="AJ44" s="55" t="str">
        <f>IF(AND('Mapa final'!$Y$57="Baja",'Mapa final'!$AA$57="Catastrófico"),CONCATENATE("R9C",'Mapa final'!$O$57),"")</f>
        <v/>
      </c>
      <c r="AK44" s="55" t="str">
        <f>IF(AND('Mapa final'!$Y$58="Baja",'Mapa final'!$AA$58="Catastrófico"),CONCATENATE("R9C",'Mapa final'!$O$58),"")</f>
        <v/>
      </c>
      <c r="AL44" s="55" t="str">
        <f>IF(AND('Mapa final'!$Y$59="Baja",'Mapa final'!$AA$59="Catastrófico"),CONCATENATE("R9C",'Mapa final'!$O$59),"")</f>
        <v/>
      </c>
      <c r="AM44" s="56" t="str">
        <f>IF(AND('Mapa final'!$Y$60="Baja",'Mapa final'!$AA$60="Catastrófico"),CONCATENATE("R9C",'Mapa final'!$O$60),"")</f>
        <v/>
      </c>
      <c r="AN44" s="82"/>
      <c r="AO44" s="422"/>
      <c r="AP44" s="423"/>
      <c r="AQ44" s="423"/>
      <c r="AR44" s="423"/>
      <c r="AS44" s="423"/>
      <c r="AT44" s="424"/>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5">
      <c r="A45" s="82"/>
      <c r="B45" s="350"/>
      <c r="C45" s="350"/>
      <c r="D45" s="351"/>
      <c r="E45" s="394"/>
      <c r="F45" s="395"/>
      <c r="G45" s="395"/>
      <c r="H45" s="395"/>
      <c r="I45" s="395"/>
      <c r="J45" s="78" t="str">
        <f>IF(AND('Mapa final'!$Y$61="Baja",'Mapa final'!$AA$61="Leve"),CONCATENATE("R10C",'Mapa final'!$O$61),"")</f>
        <v/>
      </c>
      <c r="K45" s="79" t="str">
        <f>IF(AND('Mapa final'!$Y$62="Baja",'Mapa final'!$AA$62="Leve"),CONCATENATE("R10C",'Mapa final'!$O$62),"")</f>
        <v/>
      </c>
      <c r="L45" s="79" t="str">
        <f>IF(AND('Mapa final'!$Y$63="Baja",'Mapa final'!$AA$63="Leve"),CONCATENATE("R10C",'Mapa final'!$O$63),"")</f>
        <v/>
      </c>
      <c r="M45" s="79" t="str">
        <f>IF(AND('Mapa final'!$Y$64="Baja",'Mapa final'!$AA$64="Leve"),CONCATENATE("R10C",'Mapa final'!$O$64),"")</f>
        <v/>
      </c>
      <c r="N45" s="79" t="str">
        <f>IF(AND('Mapa final'!$Y$65="Baja",'Mapa final'!$AA$65="Leve"),CONCATENATE("R10C",'Mapa final'!$O$65),"")</f>
        <v/>
      </c>
      <c r="O45" s="80" t="str">
        <f>IF(AND('Mapa final'!$Y$66="Baja",'Mapa final'!$AA$66="Leve"),CONCATENATE("R10C",'Mapa final'!$O$66),"")</f>
        <v/>
      </c>
      <c r="P45" s="66" t="str">
        <f>IF(AND('Mapa final'!$Y$61="Baja",'Mapa final'!$AA$61="Menor"),CONCATENATE("R10C",'Mapa final'!$O$61),"")</f>
        <v/>
      </c>
      <c r="Q45" s="67" t="str">
        <f>IF(AND('Mapa final'!$Y$62="Baja",'Mapa final'!$AA$62="Menor"),CONCATENATE("R10C",'Mapa final'!$O$62),"")</f>
        <v/>
      </c>
      <c r="R45" s="67" t="str">
        <f>IF(AND('Mapa final'!$Y$63="Baja",'Mapa final'!$AA$63="Menor"),CONCATENATE("R10C",'Mapa final'!$O$63),"")</f>
        <v/>
      </c>
      <c r="S45" s="67" t="str">
        <f>IF(AND('Mapa final'!$Y$64="Baja",'Mapa final'!$AA$64="Menor"),CONCATENATE("R10C",'Mapa final'!$O$64),"")</f>
        <v/>
      </c>
      <c r="T45" s="67" t="str">
        <f>IF(AND('Mapa final'!$Y$65="Baja",'Mapa final'!$AA$65="Menor"),CONCATENATE("R10C",'Mapa final'!$O$65),"")</f>
        <v/>
      </c>
      <c r="U45" s="68" t="str">
        <f>IF(AND('Mapa final'!$Y$66="Baja",'Mapa final'!$AA$66="Menor"),CONCATENATE("R10C",'Mapa final'!$O$66),"")</f>
        <v/>
      </c>
      <c r="V45" s="69" t="str">
        <f>IF(AND('Mapa final'!$Y$61="Baja",'Mapa final'!$AA$61="Moderado"),CONCATENATE("R10C",'Mapa final'!$O$61),"")</f>
        <v/>
      </c>
      <c r="W45" s="70" t="str">
        <f>IF(AND('Mapa final'!$Y$62="Baja",'Mapa final'!$AA$62="Moderado"),CONCATENATE("R10C",'Mapa final'!$O$62),"")</f>
        <v/>
      </c>
      <c r="X45" s="70" t="str">
        <f>IF(AND('Mapa final'!$Y$63="Baja",'Mapa final'!$AA$63="Moderado"),CONCATENATE("R10C",'Mapa final'!$O$63),"")</f>
        <v/>
      </c>
      <c r="Y45" s="70" t="str">
        <f>IF(AND('Mapa final'!$Y$64="Baja",'Mapa final'!$AA$64="Moderado"),CONCATENATE("R10C",'Mapa final'!$O$64),"")</f>
        <v/>
      </c>
      <c r="Z45" s="70" t="str">
        <f>IF(AND('Mapa final'!$Y$65="Baja",'Mapa final'!$AA$65="Moderado"),CONCATENATE("R10C",'Mapa final'!$O$65),"")</f>
        <v/>
      </c>
      <c r="AA45" s="71" t="str">
        <f>IF(AND('Mapa final'!$Y$66="Baja",'Mapa final'!$AA$66="Moderado"),CONCATENATE("R10C",'Mapa final'!$O$66),"")</f>
        <v/>
      </c>
      <c r="AB45" s="57" t="str">
        <f>IF(AND('Mapa final'!$Y$61="Baja",'Mapa final'!$AA$61="Mayor"),CONCATENATE("R10C",'Mapa final'!$O$61),"")</f>
        <v/>
      </c>
      <c r="AC45" s="58" t="str">
        <f>IF(AND('Mapa final'!$Y$62="Baja",'Mapa final'!$AA$62="Mayor"),CONCATENATE("R10C",'Mapa final'!$O$62),"")</f>
        <v/>
      </c>
      <c r="AD45" s="58" t="str">
        <f>IF(AND('Mapa final'!$Y$63="Baja",'Mapa final'!$AA$63="Mayor"),CONCATENATE("R10C",'Mapa final'!$O$63),"")</f>
        <v/>
      </c>
      <c r="AE45" s="58" t="str">
        <f>IF(AND('Mapa final'!$Y$64="Baja",'Mapa final'!$AA$64="Mayor"),CONCATENATE("R10C",'Mapa final'!$O$64),"")</f>
        <v/>
      </c>
      <c r="AF45" s="58" t="str">
        <f>IF(AND('Mapa final'!$Y$65="Baja",'Mapa final'!$AA$65="Mayor"),CONCATENATE("R10C",'Mapa final'!$O$65),"")</f>
        <v/>
      </c>
      <c r="AG45" s="59" t="str">
        <f>IF(AND('Mapa final'!$Y$66="Baja",'Mapa final'!$AA$66="Mayor"),CONCATENATE("R10C",'Mapa final'!$O$66),"")</f>
        <v/>
      </c>
      <c r="AH45" s="60" t="str">
        <f>IF(AND('Mapa final'!$Y$61="Baja",'Mapa final'!$AA$61="Catastrófico"),CONCATENATE("R10C",'Mapa final'!$O$61),"")</f>
        <v/>
      </c>
      <c r="AI45" s="61" t="str">
        <f>IF(AND('Mapa final'!$Y$62="Baja",'Mapa final'!$AA$62="Catastrófico"),CONCATENATE("R10C",'Mapa final'!$O$62),"")</f>
        <v/>
      </c>
      <c r="AJ45" s="61" t="str">
        <f>IF(AND('Mapa final'!$Y$63="Baja",'Mapa final'!$AA$63="Catastrófico"),CONCATENATE("R10C",'Mapa final'!$O$63),"")</f>
        <v/>
      </c>
      <c r="AK45" s="61" t="str">
        <f>IF(AND('Mapa final'!$Y$64="Baja",'Mapa final'!$AA$64="Catastrófico"),CONCATENATE("R10C",'Mapa final'!$O$64),"")</f>
        <v/>
      </c>
      <c r="AL45" s="61" t="str">
        <f>IF(AND('Mapa final'!$Y$65="Baja",'Mapa final'!$AA$65="Catastrófico"),CONCATENATE("R10C",'Mapa final'!$O$65),"")</f>
        <v/>
      </c>
      <c r="AM45" s="62" t="str">
        <f>IF(AND('Mapa final'!$Y$66="Baja",'Mapa final'!$AA$66="Catastrófico"),CONCATENATE("R10C",'Mapa final'!$O$66),"")</f>
        <v/>
      </c>
      <c r="AN45" s="82"/>
      <c r="AO45" s="425"/>
      <c r="AP45" s="426"/>
      <c r="AQ45" s="426"/>
      <c r="AR45" s="426"/>
      <c r="AS45" s="426"/>
      <c r="AT45" s="427"/>
    </row>
    <row r="46" spans="1:80" ht="46.5" customHeight="1" x14ac:dyDescent="0.45">
      <c r="A46" s="82"/>
      <c r="B46" s="350"/>
      <c r="C46" s="350"/>
      <c r="D46" s="351"/>
      <c r="E46" s="388" t="s">
        <v>112</v>
      </c>
      <c r="F46" s="389"/>
      <c r="G46" s="389"/>
      <c r="H46" s="389"/>
      <c r="I46" s="390"/>
      <c r="J46" s="72" t="str">
        <f>IF(AND('Mapa final'!$Y$10="Muy Baja",'Mapa final'!$AA$10="Leve"),CONCATENATE("R1C",'Mapa final'!$O$10),"")</f>
        <v/>
      </c>
      <c r="K46" s="73" t="str">
        <f>IF(AND('Mapa final'!$Y$11="Muy Baja",'Mapa final'!$AA$11="Leve"),CONCATENATE("R1C",'Mapa final'!$O$11),"")</f>
        <v/>
      </c>
      <c r="L46" s="73" t="str">
        <f>IF(AND('Mapa final'!$Y$12="Muy Baja",'Mapa final'!$AA$12="Leve"),CONCATENATE("R1C",'Mapa final'!$O$12),"")</f>
        <v/>
      </c>
      <c r="M46" s="73" t="str">
        <f>IF(AND('Mapa final'!$Y$13="Muy Baja",'Mapa final'!$AA$13="Leve"),CONCATENATE("R1C",'Mapa final'!$O$13),"")</f>
        <v/>
      </c>
      <c r="N46" s="73" t="str">
        <f>IF(AND('Mapa final'!$Y$14="Muy Baja",'Mapa final'!$AA$14="Leve"),CONCATENATE("R1C",'Mapa final'!$O$14),"")</f>
        <v/>
      </c>
      <c r="O46" s="74" t="str">
        <f>IF(AND('Mapa final'!$Y$15="Muy Baja",'Mapa final'!$AA$15="Leve"),CONCATENATE("R1C",'Mapa final'!$O$15),"")</f>
        <v/>
      </c>
      <c r="P46" s="72" t="str">
        <f>IF(AND('Mapa final'!$Y$10="Muy Baja",'Mapa final'!$AA$10="Menor"),CONCATENATE("R1C",'Mapa final'!$O$10),"")</f>
        <v/>
      </c>
      <c r="Q46" s="73" t="str">
        <f>IF(AND('Mapa final'!$Y$11="Muy Baja",'Mapa final'!$AA$11="Menor"),CONCATENATE("R1C",'Mapa final'!$O$11),"")</f>
        <v/>
      </c>
      <c r="R46" s="73" t="str">
        <f>IF(AND('Mapa final'!$Y$12="Muy Baja",'Mapa final'!$AA$12="Menor"),CONCATENATE("R1C",'Mapa final'!$O$12),"")</f>
        <v/>
      </c>
      <c r="S46" s="73" t="str">
        <f>IF(AND('Mapa final'!$Y$13="Muy Baja",'Mapa final'!$AA$13="Menor"),CONCATENATE("R1C",'Mapa final'!$O$13),"")</f>
        <v/>
      </c>
      <c r="T46" s="73" t="str">
        <f>IF(AND('Mapa final'!$Y$14="Muy Baja",'Mapa final'!$AA$14="Menor"),CONCATENATE("R1C",'Mapa final'!$O$14),"")</f>
        <v/>
      </c>
      <c r="U46" s="74" t="str">
        <f>IF(AND('Mapa final'!$Y$15="Muy Baja",'Mapa final'!$AA$15="Menor"),CONCATENATE("R1C",'Mapa final'!$O$15),"")</f>
        <v/>
      </c>
      <c r="V46" s="63" t="str">
        <f>IF(AND('Mapa final'!$Y$10="Muy Baja",'Mapa final'!$AA$10="Moderado"),CONCATENATE("R1C",'Mapa final'!$O$10),"")</f>
        <v/>
      </c>
      <c r="W46" s="81" t="str">
        <f>IF(AND('Mapa final'!$Y$11="Muy Baja",'Mapa final'!$AA$11="Moderado"),CONCATENATE("R1C",'Mapa final'!$O$11),"")</f>
        <v/>
      </c>
      <c r="X46" s="64" t="str">
        <f>IF(AND('Mapa final'!$Y$12="Muy Baja",'Mapa final'!$AA$12="Moderado"),CONCATENATE("R1C",'Mapa final'!$O$12),"")</f>
        <v/>
      </c>
      <c r="Y46" s="64" t="str">
        <f>IF(AND('Mapa final'!$Y$13="Muy Baja",'Mapa final'!$AA$13="Moderado"),CONCATENATE("R1C",'Mapa final'!$O$13),"")</f>
        <v/>
      </c>
      <c r="Z46" s="64" t="str">
        <f>IF(AND('Mapa final'!$Y$14="Muy Baja",'Mapa final'!$AA$14="Moderado"),CONCATENATE("R1C",'Mapa final'!$O$14),"")</f>
        <v/>
      </c>
      <c r="AA46" s="65" t="str">
        <f>IF(AND('Mapa final'!$Y$15="Muy Baja",'Mapa final'!$AA$15="Moderado"),CONCATENATE("R1C",'Mapa final'!$O$15),"")</f>
        <v/>
      </c>
      <c r="AB46" s="45" t="str">
        <f>IF(AND('Mapa final'!$Y$10="Muy Baja",'Mapa final'!$AA$10="Mayor"),CONCATENATE("R1C",'Mapa final'!$O$10),"")</f>
        <v/>
      </c>
      <c r="AC46" s="46" t="str">
        <f>IF(AND('Mapa final'!$Y$11="Muy Baja",'Mapa final'!$AA$11="Mayor"),CONCATENATE("R1C",'Mapa final'!$O$11),"")</f>
        <v/>
      </c>
      <c r="AD46" s="46" t="str">
        <f>IF(AND('Mapa final'!$Y$12="Muy Baja",'Mapa final'!$AA$12="Mayor"),CONCATENATE("R1C",'Mapa final'!$O$12),"")</f>
        <v/>
      </c>
      <c r="AE46" s="46" t="str">
        <f>IF(AND('Mapa final'!$Y$13="Muy Baja",'Mapa final'!$AA$13="Mayor"),CONCATENATE("R1C",'Mapa final'!$O$13),"")</f>
        <v/>
      </c>
      <c r="AF46" s="46" t="str">
        <f>IF(AND('Mapa final'!$Y$14="Muy Baja",'Mapa final'!$AA$14="Mayor"),CONCATENATE("R1C",'Mapa final'!$O$14),"")</f>
        <v/>
      </c>
      <c r="AG46" s="47" t="str">
        <f>IF(AND('Mapa final'!$Y$15="Muy Baja",'Mapa final'!$AA$15="Mayor"),CONCATENATE("R1C",'Mapa final'!$O$15),"")</f>
        <v/>
      </c>
      <c r="AH46" s="48" t="str">
        <f>IF(AND('Mapa final'!$Y$10="Muy Baja",'Mapa final'!$AA$10="Catastrófico"),CONCATENATE("R1C",'Mapa final'!$O$10),"")</f>
        <v/>
      </c>
      <c r="AI46" s="49" t="str">
        <f>IF(AND('Mapa final'!$Y$11="Muy Baja",'Mapa final'!$AA$11="Catastrófico"),CONCATENATE("R1C",'Mapa final'!$O$11),"")</f>
        <v/>
      </c>
      <c r="AJ46" s="49" t="str">
        <f>IF(AND('Mapa final'!$Y$12="Muy Baja",'Mapa final'!$AA$12="Catastrófico"),CONCATENATE("R1C",'Mapa final'!$O$12),"")</f>
        <v/>
      </c>
      <c r="AK46" s="49" t="str">
        <f>IF(AND('Mapa final'!$Y$13="Muy Baja",'Mapa final'!$AA$13="Catastrófico"),CONCATENATE("R1C",'Mapa final'!$O$13),"")</f>
        <v/>
      </c>
      <c r="AL46" s="49" t="str">
        <f>IF(AND('Mapa final'!$Y$14="Muy Baja",'Mapa final'!$AA$14="Catastrófico"),CONCATENATE("R1C",'Mapa final'!$O$14),"")</f>
        <v/>
      </c>
      <c r="AM46" s="50" t="str">
        <f>IF(AND('Mapa final'!$Y$15="Muy Baja",'Mapa final'!$AA$15="Catastrófico"),CONCATENATE("R1C",'Mapa final'!$O$15),"")</f>
        <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3">
      <c r="A47" s="82"/>
      <c r="B47" s="350"/>
      <c r="C47" s="350"/>
      <c r="D47" s="351"/>
      <c r="E47" s="407"/>
      <c r="F47" s="392"/>
      <c r="G47" s="392"/>
      <c r="H47" s="392"/>
      <c r="I47" s="393"/>
      <c r="J47" s="75" t="str">
        <f>IF(AND('Mapa final'!$Y$16="Muy Baja",'Mapa final'!$AA$16="Leve"),CONCATENATE("R2C",'Mapa final'!$O$16),"")</f>
        <v/>
      </c>
      <c r="K47" s="76" t="str">
        <f>IF(AND('Mapa final'!$Y$17="Muy Baja",'Mapa final'!$AA$17="Leve"),CONCATENATE("R2C",'Mapa final'!$O$17),"")</f>
        <v/>
      </c>
      <c r="L47" s="76" t="str">
        <f>IF(AND('Mapa final'!$Y$18="Muy Baja",'Mapa final'!$AA$18="Leve"),CONCATENATE("R2C",'Mapa final'!$O$18),"")</f>
        <v/>
      </c>
      <c r="M47" s="76" t="str">
        <f>IF(AND('Mapa final'!$Y$19="Muy Baja",'Mapa final'!$AA$19="Leve"),CONCATENATE("R2C",'Mapa final'!$O$19),"")</f>
        <v/>
      </c>
      <c r="N47" s="76" t="str">
        <f>IF(AND('Mapa final'!$Y$20="Muy Baja",'Mapa final'!$AA$20="Leve"),CONCATENATE("R2C",'Mapa final'!$O$20),"")</f>
        <v/>
      </c>
      <c r="O47" s="77" t="str">
        <f>IF(AND('Mapa final'!$Y$21="Muy Baja",'Mapa final'!$AA$21="Leve"),CONCATENATE("R2C",'Mapa final'!$O$21),"")</f>
        <v/>
      </c>
      <c r="P47" s="75" t="str">
        <f>IF(AND('Mapa final'!$Y$16="Muy Baja",'Mapa final'!$AA$16="Menor"),CONCATENATE("R2C",'Mapa final'!$O$16),"")</f>
        <v/>
      </c>
      <c r="Q47" s="76" t="str">
        <f>IF(AND('Mapa final'!$Y$17="Muy Baja",'Mapa final'!$AA$17="Menor"),CONCATENATE("R2C",'Mapa final'!$O$17),"")</f>
        <v/>
      </c>
      <c r="R47" s="76" t="str">
        <f>IF(AND('Mapa final'!$Y$18="Muy Baja",'Mapa final'!$AA$18="Menor"),CONCATENATE("R2C",'Mapa final'!$O$18),"")</f>
        <v/>
      </c>
      <c r="S47" s="76" t="str">
        <f>IF(AND('Mapa final'!$Y$19="Muy Baja",'Mapa final'!$AA$19="Menor"),CONCATENATE("R2C",'Mapa final'!$O$19),"")</f>
        <v/>
      </c>
      <c r="T47" s="76" t="str">
        <f>IF(AND('Mapa final'!$Y$20="Muy Baja",'Mapa final'!$AA$20="Menor"),CONCATENATE("R2C",'Mapa final'!$O$20),"")</f>
        <v/>
      </c>
      <c r="U47" s="77" t="str">
        <f>IF(AND('Mapa final'!$Y$21="Muy Baja",'Mapa final'!$AA$21="Menor"),CONCATENATE("R2C",'Mapa final'!$O$21),"")</f>
        <v/>
      </c>
      <c r="V47" s="66" t="str">
        <f>IF(AND('Mapa final'!$Y$16="Muy Baja",'Mapa final'!$AA$16="Moderado"),CONCATENATE("R2C",'Mapa final'!$O$16),"")</f>
        <v/>
      </c>
      <c r="W47" s="67" t="str">
        <f>IF(AND('Mapa final'!$Y$17="Muy Baja",'Mapa final'!$AA$17="Moderado"),CONCATENATE("R2C",'Mapa final'!$O$17),"")</f>
        <v/>
      </c>
      <c r="X47" s="67" t="str">
        <f>IF(AND('Mapa final'!$Y$18="Muy Baja",'Mapa final'!$AA$18="Moderado"),CONCATENATE("R2C",'Mapa final'!$O$18),"")</f>
        <v/>
      </c>
      <c r="Y47" s="67" t="str">
        <f>IF(AND('Mapa final'!$Y$19="Muy Baja",'Mapa final'!$AA$19="Moderado"),CONCATENATE("R2C",'Mapa final'!$O$19),"")</f>
        <v/>
      </c>
      <c r="Z47" s="67" t="str">
        <f>IF(AND('Mapa final'!$Y$20="Muy Baja",'Mapa final'!$AA$20="Moderado"),CONCATENATE("R2C",'Mapa final'!$O$20),"")</f>
        <v/>
      </c>
      <c r="AA47" s="68" t="str">
        <f>IF(AND('Mapa final'!$Y$21="Muy Baja",'Mapa final'!$AA$21="Moderado"),CONCATENATE("R2C",'Mapa final'!$O$21),"")</f>
        <v/>
      </c>
      <c r="AB47" s="51" t="str">
        <f>IF(AND('Mapa final'!$Y$16="Muy Baja",'Mapa final'!$AA$16="Mayor"),CONCATENATE("R2C",'Mapa final'!$O$16),"")</f>
        <v/>
      </c>
      <c r="AC47" s="52" t="str">
        <f>IF(AND('Mapa final'!$Y$17="Muy Baja",'Mapa final'!$AA$17="Mayor"),CONCATENATE("R2C",'Mapa final'!$O$17),"")</f>
        <v/>
      </c>
      <c r="AD47" s="52" t="str">
        <f>IF(AND('Mapa final'!$Y$18="Muy Baja",'Mapa final'!$AA$18="Mayor"),CONCATENATE("R2C",'Mapa final'!$O$18),"")</f>
        <v/>
      </c>
      <c r="AE47" s="52" t="str">
        <f>IF(AND('Mapa final'!$Y$19="Muy Baja",'Mapa final'!$AA$19="Mayor"),CONCATENATE("R2C",'Mapa final'!$O$19),"")</f>
        <v/>
      </c>
      <c r="AF47" s="52" t="str">
        <f>IF(AND('Mapa final'!$Y$20="Muy Baja",'Mapa final'!$AA$20="Mayor"),CONCATENATE("R2C",'Mapa final'!$O$20),"")</f>
        <v/>
      </c>
      <c r="AG47" s="53" t="str">
        <f>IF(AND('Mapa final'!$Y$21="Muy Baja",'Mapa final'!$AA$21="Mayor"),CONCATENATE("R2C",'Mapa final'!$O$21),"")</f>
        <v/>
      </c>
      <c r="AH47" s="54" t="str">
        <f>IF(AND('Mapa final'!$Y$16="Muy Baja",'Mapa final'!$AA$16="Catastrófico"),CONCATENATE("R2C",'Mapa final'!$O$16),"")</f>
        <v/>
      </c>
      <c r="AI47" s="55" t="str">
        <f>IF(AND('Mapa final'!$Y$17="Muy Baja",'Mapa final'!$AA$17="Catastrófico"),CONCATENATE("R2C",'Mapa final'!$O$17),"")</f>
        <v/>
      </c>
      <c r="AJ47" s="55" t="str">
        <f>IF(AND('Mapa final'!$Y$18="Muy Baja",'Mapa final'!$AA$18="Catastrófico"),CONCATENATE("R2C",'Mapa final'!$O$18),"")</f>
        <v/>
      </c>
      <c r="AK47" s="55" t="str">
        <f>IF(AND('Mapa final'!$Y$19="Muy Baja",'Mapa final'!$AA$19="Catastrófico"),CONCATENATE("R2C",'Mapa final'!$O$19),"")</f>
        <v/>
      </c>
      <c r="AL47" s="55" t="str">
        <f>IF(AND('Mapa final'!$Y$20="Muy Baja",'Mapa final'!$AA$20="Catastrófico"),CONCATENATE("R2C",'Mapa final'!$O$20),"")</f>
        <v/>
      </c>
      <c r="AM47" s="56" t="str">
        <f>IF(AND('Mapa final'!$Y$21="Muy Baja",'Mapa final'!$AA$21="Catastrófico"),CONCATENATE("R2C",'Mapa final'!$O$21),"")</f>
        <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3">
      <c r="A48" s="82"/>
      <c r="B48" s="350"/>
      <c r="C48" s="350"/>
      <c r="D48" s="351"/>
      <c r="E48" s="407"/>
      <c r="F48" s="392"/>
      <c r="G48" s="392"/>
      <c r="H48" s="392"/>
      <c r="I48" s="393"/>
      <c r="J48" s="75" t="str">
        <f>IF(AND('Mapa final'!$Y$22="Muy Baja",'Mapa final'!$AA$22="Leve"),CONCATENATE("R3C",'Mapa final'!$O$22),"")</f>
        <v/>
      </c>
      <c r="K48" s="76" t="str">
        <f>IF(AND('Mapa final'!$Y$23="Muy Baja",'Mapa final'!$AA$23="Leve"),CONCATENATE("R3C",'Mapa final'!$O$23),"")</f>
        <v/>
      </c>
      <c r="L48" s="76" t="str">
        <f>IF(AND('Mapa final'!$Y$24="Muy Baja",'Mapa final'!$AA$24="Leve"),CONCATENATE("R3C",'Mapa final'!$O$24),"")</f>
        <v/>
      </c>
      <c r="M48" s="76" t="str">
        <f>IF(AND('Mapa final'!$Y$25="Muy Baja",'Mapa final'!$AA$25="Leve"),CONCATENATE("R3C",'Mapa final'!$O$25),"")</f>
        <v/>
      </c>
      <c r="N48" s="76" t="str">
        <f>IF(AND('Mapa final'!$Y$26="Muy Baja",'Mapa final'!$AA$26="Leve"),CONCATENATE("R3C",'Mapa final'!$O$26),"")</f>
        <v/>
      </c>
      <c r="O48" s="77" t="str">
        <f>IF(AND('Mapa final'!$Y$27="Muy Baja",'Mapa final'!$AA$27="Leve"),CONCATENATE("R3C",'Mapa final'!$O$27),"")</f>
        <v/>
      </c>
      <c r="P48" s="75" t="str">
        <f>IF(AND('Mapa final'!$Y$22="Muy Baja",'Mapa final'!$AA$22="Menor"),CONCATENATE("R3C",'Mapa final'!$O$22),"")</f>
        <v/>
      </c>
      <c r="Q48" s="76" t="str">
        <f>IF(AND('Mapa final'!$Y$23="Muy Baja",'Mapa final'!$AA$23="Menor"),CONCATENATE("R3C",'Mapa final'!$O$23),"")</f>
        <v/>
      </c>
      <c r="R48" s="76" t="str">
        <f>IF(AND('Mapa final'!$Y$24="Muy Baja",'Mapa final'!$AA$24="Menor"),CONCATENATE("R3C",'Mapa final'!$O$24),"")</f>
        <v/>
      </c>
      <c r="S48" s="76" t="str">
        <f>IF(AND('Mapa final'!$Y$25="Muy Baja",'Mapa final'!$AA$25="Menor"),CONCATENATE("R3C",'Mapa final'!$O$25),"")</f>
        <v/>
      </c>
      <c r="T48" s="76" t="str">
        <f>IF(AND('Mapa final'!$Y$26="Muy Baja",'Mapa final'!$AA$26="Menor"),CONCATENATE("R3C",'Mapa final'!$O$26),"")</f>
        <v/>
      </c>
      <c r="U48" s="77" t="str">
        <f>IF(AND('Mapa final'!$Y$27="Muy Baja",'Mapa final'!$AA$27="Menor"),CONCATENATE("R3C",'Mapa final'!$O$27),"")</f>
        <v/>
      </c>
      <c r="V48" s="66" t="str">
        <f>IF(AND('Mapa final'!$Y$22="Muy Baja",'Mapa final'!$AA$22="Moderado"),CONCATENATE("R3C",'Mapa final'!$O$22),"")</f>
        <v/>
      </c>
      <c r="W48" s="67" t="str">
        <f>IF(AND('Mapa final'!$Y$23="Muy Baja",'Mapa final'!$AA$23="Moderado"),CONCATENATE("R3C",'Mapa final'!$O$23),"")</f>
        <v/>
      </c>
      <c r="X48" s="67" t="str">
        <f>IF(AND('Mapa final'!$Y$24="Muy Baja",'Mapa final'!$AA$24="Moderado"),CONCATENATE("R3C",'Mapa final'!$O$24),"")</f>
        <v/>
      </c>
      <c r="Y48" s="67" t="str">
        <f>IF(AND('Mapa final'!$Y$25="Muy Baja",'Mapa final'!$AA$25="Moderado"),CONCATENATE("R3C",'Mapa final'!$O$25),"")</f>
        <v/>
      </c>
      <c r="Z48" s="67" t="str">
        <f>IF(AND('Mapa final'!$Y$26="Muy Baja",'Mapa final'!$AA$26="Moderado"),CONCATENATE("R3C",'Mapa final'!$O$26),"")</f>
        <v/>
      </c>
      <c r="AA48" s="68" t="str">
        <f>IF(AND('Mapa final'!$Y$27="Muy Baja",'Mapa final'!$AA$27="Moderado"),CONCATENATE("R3C",'Mapa final'!$O$27),"")</f>
        <v/>
      </c>
      <c r="AB48" s="51" t="str">
        <f>IF(AND('Mapa final'!$Y$22="Muy Baja",'Mapa final'!$AA$22="Mayor"),CONCATENATE("R3C",'Mapa final'!$O$22),"")</f>
        <v/>
      </c>
      <c r="AC48" s="52" t="str">
        <f>IF(AND('Mapa final'!$Y$23="Muy Baja",'Mapa final'!$AA$23="Mayor"),CONCATENATE("R3C",'Mapa final'!$O$23),"")</f>
        <v/>
      </c>
      <c r="AD48" s="52" t="str">
        <f>IF(AND('Mapa final'!$Y$24="Muy Baja",'Mapa final'!$AA$24="Mayor"),CONCATENATE("R3C",'Mapa final'!$O$24),"")</f>
        <v/>
      </c>
      <c r="AE48" s="52" t="str">
        <f>IF(AND('Mapa final'!$Y$25="Muy Baja",'Mapa final'!$AA$25="Mayor"),CONCATENATE("R3C",'Mapa final'!$O$25),"")</f>
        <v/>
      </c>
      <c r="AF48" s="52" t="str">
        <f>IF(AND('Mapa final'!$Y$26="Muy Baja",'Mapa final'!$AA$26="Mayor"),CONCATENATE("R3C",'Mapa final'!$O$26),"")</f>
        <v/>
      </c>
      <c r="AG48" s="53" t="str">
        <f>IF(AND('Mapa final'!$Y$27="Muy Baja",'Mapa final'!$AA$27="Mayor"),CONCATENATE("R3C",'Mapa final'!$O$27),"")</f>
        <v/>
      </c>
      <c r="AH48" s="54" t="str">
        <f>IF(AND('Mapa final'!$Y$22="Muy Baja",'Mapa final'!$AA$22="Catastrófico"),CONCATENATE("R3C",'Mapa final'!$O$22),"")</f>
        <v/>
      </c>
      <c r="AI48" s="55" t="str">
        <f>IF(AND('Mapa final'!$Y$23="Muy Baja",'Mapa final'!$AA$23="Catastrófico"),CONCATENATE("R3C",'Mapa final'!$O$23),"")</f>
        <v/>
      </c>
      <c r="AJ48" s="55" t="str">
        <f>IF(AND('Mapa final'!$Y$24="Muy Baja",'Mapa final'!$AA$24="Catastrófico"),CONCATENATE("R3C",'Mapa final'!$O$24),"")</f>
        <v/>
      </c>
      <c r="AK48" s="55" t="str">
        <f>IF(AND('Mapa final'!$Y$25="Muy Baja",'Mapa final'!$AA$25="Catastrófico"),CONCATENATE("R3C",'Mapa final'!$O$25),"")</f>
        <v/>
      </c>
      <c r="AL48" s="55" t="str">
        <f>IF(AND('Mapa final'!$Y$26="Muy Baja",'Mapa final'!$AA$26="Catastrófico"),CONCATENATE("R3C",'Mapa final'!$O$26),"")</f>
        <v/>
      </c>
      <c r="AM48" s="56" t="str">
        <f>IF(AND('Mapa final'!$Y$27="Muy Baja",'Mapa final'!$AA$27="Catastrófico"),CONCATENATE("R3C",'Mapa final'!$O$27),"")</f>
        <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3">
      <c r="A49" s="82"/>
      <c r="B49" s="350"/>
      <c r="C49" s="350"/>
      <c r="D49" s="351"/>
      <c r="E49" s="391"/>
      <c r="F49" s="392"/>
      <c r="G49" s="392"/>
      <c r="H49" s="392"/>
      <c r="I49" s="393"/>
      <c r="J49" s="75" t="str">
        <f>IF(AND('Mapa final'!$Y$28="Muy Baja",'Mapa final'!$AA$28="Leve"),CONCATENATE("R4C",'Mapa final'!$O$28),"")</f>
        <v/>
      </c>
      <c r="K49" s="76" t="str">
        <f>IF(AND('Mapa final'!$Y$29="Muy Baja",'Mapa final'!$AA$29="Leve"),CONCATENATE("R4C",'Mapa final'!$O$29),"")</f>
        <v/>
      </c>
      <c r="L49" s="76" t="str">
        <f>IF(AND('Mapa final'!$Y$30="Muy Baja",'Mapa final'!$AA$30="Leve"),CONCATENATE("R4C",'Mapa final'!$O$30),"")</f>
        <v/>
      </c>
      <c r="M49" s="76" t="str">
        <f>IF(AND('Mapa final'!$Y$31="Muy Baja",'Mapa final'!$AA$31="Leve"),CONCATENATE("R4C",'Mapa final'!$O$31),"")</f>
        <v/>
      </c>
      <c r="N49" s="76" t="str">
        <f>IF(AND('Mapa final'!$Y$32="Muy Baja",'Mapa final'!$AA$32="Leve"),CONCATENATE("R4C",'Mapa final'!$O$32),"")</f>
        <v/>
      </c>
      <c r="O49" s="77" t="str">
        <f>IF(AND('Mapa final'!$Y$33="Muy Baja",'Mapa final'!$AA$33="Leve"),CONCATENATE("R4C",'Mapa final'!$O$33),"")</f>
        <v/>
      </c>
      <c r="P49" s="75" t="str">
        <f>IF(AND('Mapa final'!$Y$28="Muy Baja",'Mapa final'!$AA$28="Menor"),CONCATENATE("R4C",'Mapa final'!$O$28),"")</f>
        <v/>
      </c>
      <c r="Q49" s="76" t="str">
        <f>IF(AND('Mapa final'!$Y$29="Muy Baja",'Mapa final'!$AA$29="Menor"),CONCATENATE("R4C",'Mapa final'!$O$29),"")</f>
        <v/>
      </c>
      <c r="R49" s="76" t="str">
        <f>IF(AND('Mapa final'!$Y$30="Muy Baja",'Mapa final'!$AA$30="Menor"),CONCATENATE("R4C",'Mapa final'!$O$30),"")</f>
        <v/>
      </c>
      <c r="S49" s="76" t="str">
        <f>IF(AND('Mapa final'!$Y$31="Muy Baja",'Mapa final'!$AA$31="Menor"),CONCATENATE("R4C",'Mapa final'!$O$31),"")</f>
        <v/>
      </c>
      <c r="T49" s="76" t="str">
        <f>IF(AND('Mapa final'!$Y$32="Muy Baja",'Mapa final'!$AA$32="Menor"),CONCATENATE("R4C",'Mapa final'!$O$32),"")</f>
        <v/>
      </c>
      <c r="U49" s="77" t="str">
        <f>IF(AND('Mapa final'!$Y$33="Muy Baja",'Mapa final'!$AA$33="Menor"),CONCATENATE("R4C",'Mapa final'!$O$33),"")</f>
        <v/>
      </c>
      <c r="V49" s="66" t="str">
        <f>IF(AND('Mapa final'!$Y$28="Muy Baja",'Mapa final'!$AA$28="Moderado"),CONCATENATE("R4C",'Mapa final'!$O$28),"")</f>
        <v/>
      </c>
      <c r="W49" s="67" t="str">
        <f>IF(AND('Mapa final'!$Y$29="Muy Baja",'Mapa final'!$AA$29="Moderado"),CONCATENATE("R4C",'Mapa final'!$O$29),"")</f>
        <v/>
      </c>
      <c r="X49" s="67" t="str">
        <f>IF(AND('Mapa final'!$Y$30="Muy Baja",'Mapa final'!$AA$30="Moderado"),CONCATENATE("R4C",'Mapa final'!$O$30),"")</f>
        <v/>
      </c>
      <c r="Y49" s="67" t="str">
        <f>IF(AND('Mapa final'!$Y$31="Muy Baja",'Mapa final'!$AA$31="Moderado"),CONCATENATE("R4C",'Mapa final'!$O$31),"")</f>
        <v/>
      </c>
      <c r="Z49" s="67" t="str">
        <f>IF(AND('Mapa final'!$Y$32="Muy Baja",'Mapa final'!$AA$32="Moderado"),CONCATENATE("R4C",'Mapa final'!$O$32),"")</f>
        <v/>
      </c>
      <c r="AA49" s="68" t="str">
        <f>IF(AND('Mapa final'!$Y$33="Muy Baja",'Mapa final'!$AA$33="Moderado"),CONCATENATE("R4C",'Mapa final'!$O$33),"")</f>
        <v/>
      </c>
      <c r="AB49" s="51" t="str">
        <f>IF(AND('Mapa final'!$Y$28="Muy Baja",'Mapa final'!$AA$28="Mayor"),CONCATENATE("R4C",'Mapa final'!$O$28),"")</f>
        <v/>
      </c>
      <c r="AC49" s="52" t="str">
        <f>IF(AND('Mapa final'!$Y$29="Muy Baja",'Mapa final'!$AA$29="Mayor"),CONCATENATE("R4C",'Mapa final'!$O$29),"")</f>
        <v/>
      </c>
      <c r="AD49" s="52" t="str">
        <f>IF(AND('Mapa final'!$Y$30="Muy Baja",'Mapa final'!$AA$30="Mayor"),CONCATENATE("R4C",'Mapa final'!$O$30),"")</f>
        <v/>
      </c>
      <c r="AE49" s="52" t="str">
        <f>IF(AND('Mapa final'!$Y$31="Muy Baja",'Mapa final'!$AA$31="Mayor"),CONCATENATE("R4C",'Mapa final'!$O$31),"")</f>
        <v/>
      </c>
      <c r="AF49" s="52" t="str">
        <f>IF(AND('Mapa final'!$Y$32="Muy Baja",'Mapa final'!$AA$32="Mayor"),CONCATENATE("R4C",'Mapa final'!$O$32),"")</f>
        <v/>
      </c>
      <c r="AG49" s="53" t="str">
        <f>IF(AND('Mapa final'!$Y$33="Muy Baja",'Mapa final'!$AA$33="Mayor"),CONCATENATE("R4C",'Mapa final'!$O$33),"")</f>
        <v/>
      </c>
      <c r="AH49" s="54" t="str">
        <f>IF(AND('Mapa final'!$Y$28="Muy Baja",'Mapa final'!$AA$28="Catastrófico"),CONCATENATE("R4C",'Mapa final'!$O$28),"")</f>
        <v/>
      </c>
      <c r="AI49" s="55" t="str">
        <f>IF(AND('Mapa final'!$Y$29="Muy Baja",'Mapa final'!$AA$29="Catastrófico"),CONCATENATE("R4C",'Mapa final'!$O$29),"")</f>
        <v/>
      </c>
      <c r="AJ49" s="55" t="str">
        <f>IF(AND('Mapa final'!$Y$30="Muy Baja",'Mapa final'!$AA$30="Catastrófico"),CONCATENATE("R4C",'Mapa final'!$O$30),"")</f>
        <v/>
      </c>
      <c r="AK49" s="55" t="str">
        <f>IF(AND('Mapa final'!$Y$31="Muy Baja",'Mapa final'!$AA$31="Catastrófico"),CONCATENATE("R4C",'Mapa final'!$O$31),"")</f>
        <v/>
      </c>
      <c r="AL49" s="55" t="str">
        <f>IF(AND('Mapa final'!$Y$32="Muy Baja",'Mapa final'!$AA$32="Catastrófico"),CONCATENATE("R4C",'Mapa final'!$O$32),"")</f>
        <v/>
      </c>
      <c r="AM49" s="56" t="str">
        <f>IF(AND('Mapa final'!$Y$33="Muy Baja",'Mapa final'!$AA$33="Catastrófico"),CONCATENATE("R4C",'Mapa final'!$O$33),"")</f>
        <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3">
      <c r="A50" s="82"/>
      <c r="B50" s="350"/>
      <c r="C50" s="350"/>
      <c r="D50" s="351"/>
      <c r="E50" s="391"/>
      <c r="F50" s="392"/>
      <c r="G50" s="392"/>
      <c r="H50" s="392"/>
      <c r="I50" s="393"/>
      <c r="J50" s="75" t="str">
        <f>IF(AND('Mapa final'!$Y$34="Muy Baja",'Mapa final'!$AA$34="Leve"),CONCATENATE("R5C",'Mapa final'!$O$34),"")</f>
        <v/>
      </c>
      <c r="K50" s="76" t="e">
        <f>IF(AND('Mapa final'!#REF!="Muy Baja",'Mapa final'!#REF!="Leve"),CONCATENATE("R5C",'Mapa final'!#REF!),"")</f>
        <v>#REF!</v>
      </c>
      <c r="L50" s="76" t="e">
        <f>IF(AND('Mapa final'!#REF!="Muy Baja",'Mapa final'!#REF!="Leve"),CONCATENATE("R5C",'Mapa final'!#REF!),"")</f>
        <v>#REF!</v>
      </c>
      <c r="M50" s="76" t="e">
        <f>IF(AND('Mapa final'!#REF!="Muy Baja",'Mapa final'!#REF!="Leve"),CONCATENATE("R5C",'Mapa final'!#REF!),"")</f>
        <v>#REF!</v>
      </c>
      <c r="N50" s="76" t="str">
        <f>IF(AND('Mapa final'!$Y$35="Muy Baja",'Mapa final'!$AA$35="Leve"),CONCATENATE("R5C",'Mapa final'!$O$35),"")</f>
        <v/>
      </c>
      <c r="O50" s="77" t="str">
        <f>IF(AND('Mapa final'!$Y$36="Muy Baja",'Mapa final'!$AA$36="Leve"),CONCATENATE("R5C",'Mapa final'!$O$36),"")</f>
        <v/>
      </c>
      <c r="P50" s="75" t="str">
        <f>IF(AND('Mapa final'!$Y$34="Muy Baja",'Mapa final'!$AA$34="Menor"),CONCATENATE("R5C",'Mapa final'!$O$34),"")</f>
        <v/>
      </c>
      <c r="Q50" s="76" t="e">
        <f>IF(AND('Mapa final'!#REF!="Muy Baja",'Mapa final'!#REF!="Menor"),CONCATENATE("R5C",'Mapa final'!#REF!),"")</f>
        <v>#REF!</v>
      </c>
      <c r="R50" s="76" t="e">
        <f>IF(AND('Mapa final'!#REF!="Muy Baja",'Mapa final'!#REF!="Menor"),CONCATENATE("R5C",'Mapa final'!#REF!),"")</f>
        <v>#REF!</v>
      </c>
      <c r="S50" s="76" t="e">
        <f>IF(AND('Mapa final'!#REF!="Muy Baja",'Mapa final'!#REF!="Menor"),CONCATENATE("R5C",'Mapa final'!#REF!),"")</f>
        <v>#REF!</v>
      </c>
      <c r="T50" s="76" t="str">
        <f>IF(AND('Mapa final'!$Y$35="Muy Baja",'Mapa final'!$AA$35="Menor"),CONCATENATE("R5C",'Mapa final'!$O$35),"")</f>
        <v/>
      </c>
      <c r="U50" s="77" t="str">
        <f>IF(AND('Mapa final'!$Y$36="Muy Baja",'Mapa final'!$AA$36="Menor"),CONCATENATE("R5C",'Mapa final'!$O$36),"")</f>
        <v/>
      </c>
      <c r="V50" s="66" t="str">
        <f>IF(AND('Mapa final'!$Y$34="Muy Baja",'Mapa final'!$AA$34="Moderado"),CONCATENATE("R5C",'Mapa final'!$O$34),"")</f>
        <v/>
      </c>
      <c r="W50" s="67" t="e">
        <f>IF(AND('Mapa final'!#REF!="Muy Baja",'Mapa final'!#REF!="Moderado"),CONCATENATE("R5C",'Mapa final'!#REF!),"")</f>
        <v>#REF!</v>
      </c>
      <c r="X50" s="67" t="e">
        <f>IF(AND('Mapa final'!#REF!="Muy Baja",'Mapa final'!#REF!="Moderado"),CONCATENATE("R5C",'Mapa final'!#REF!),"")</f>
        <v>#REF!</v>
      </c>
      <c r="Y50" s="67" t="e">
        <f>IF(AND('Mapa final'!#REF!="Muy Baja",'Mapa final'!#REF!="Moderado"),CONCATENATE("R5C",'Mapa final'!#REF!),"")</f>
        <v>#REF!</v>
      </c>
      <c r="Z50" s="67" t="str">
        <f>IF(AND('Mapa final'!$Y$35="Muy Baja",'Mapa final'!$AA$35="Moderado"),CONCATENATE("R5C",'Mapa final'!$O$35),"")</f>
        <v/>
      </c>
      <c r="AA50" s="68" t="str">
        <f>IF(AND('Mapa final'!$Y$36="Muy Baja",'Mapa final'!$AA$36="Moderado"),CONCATENATE("R5C",'Mapa final'!$O$36),"")</f>
        <v/>
      </c>
      <c r="AB50" s="51" t="str">
        <f>IF(AND('Mapa final'!$Y$34="Muy Baja",'Mapa final'!$AA$34="Mayor"),CONCATENATE("R5C",'Mapa final'!$O$34),"")</f>
        <v/>
      </c>
      <c r="AC50" s="52" t="e">
        <f>IF(AND('Mapa final'!#REF!="Muy Baja",'Mapa final'!#REF!="Mayor"),CONCATENATE("R5C",'Mapa final'!#REF!),"")</f>
        <v>#REF!</v>
      </c>
      <c r="AD50" s="52" t="e">
        <f>IF(AND('Mapa final'!#REF!="Muy Baja",'Mapa final'!#REF!="Mayor"),CONCATENATE("R5C",'Mapa final'!#REF!),"")</f>
        <v>#REF!</v>
      </c>
      <c r="AE50" s="52" t="e">
        <f>IF(AND('Mapa final'!#REF!="Muy Baja",'Mapa final'!#REF!="Mayor"),CONCATENATE("R5C",'Mapa final'!#REF!),"")</f>
        <v>#REF!</v>
      </c>
      <c r="AF50" s="52" t="str">
        <f>IF(AND('Mapa final'!$Y$35="Muy Baja",'Mapa final'!$AA$35="Mayor"),CONCATENATE("R5C",'Mapa final'!$O$35),"")</f>
        <v/>
      </c>
      <c r="AG50" s="53" t="str">
        <f>IF(AND('Mapa final'!$Y$36="Muy Baja",'Mapa final'!$AA$36="Mayor"),CONCATENATE("R5C",'Mapa final'!$O$36),"")</f>
        <v/>
      </c>
      <c r="AH50" s="54" t="str">
        <f>IF(AND('Mapa final'!$Y$34="Muy Baja",'Mapa final'!$AA$34="Catastrófico"),CONCATENATE("R5C",'Mapa final'!$O$34),"")</f>
        <v>R5C1</v>
      </c>
      <c r="AI50" s="55" t="e">
        <f>IF(AND('Mapa final'!#REF!="Muy Baja",'Mapa final'!#REF!="Catastrófico"),CONCATENATE("R5C",'Mapa final'!#REF!),"")</f>
        <v>#REF!</v>
      </c>
      <c r="AJ50" s="55" t="e">
        <f>IF(AND('Mapa final'!#REF!="Muy Baja",'Mapa final'!#REF!="Catastrófico"),CONCATENATE("R5C",'Mapa final'!#REF!),"")</f>
        <v>#REF!</v>
      </c>
      <c r="AK50" s="55" t="e">
        <f>IF(AND('Mapa final'!#REF!="Muy Baja",'Mapa final'!#REF!="Catastrófico"),CONCATENATE("R5C",'Mapa final'!#REF!),"")</f>
        <v>#REF!</v>
      </c>
      <c r="AL50" s="55" t="str">
        <f>IF(AND('Mapa final'!$Y$35="Muy Baja",'Mapa final'!$AA$35="Catastrófico"),CONCATENATE("R5C",'Mapa final'!$O$35),"")</f>
        <v/>
      </c>
      <c r="AM50" s="56" t="str">
        <f>IF(AND('Mapa final'!$Y$36="Muy Baja",'Mapa final'!$AA$36="Catastrófico"),CONCATENATE("R5C",'Mapa final'!$O$36),"")</f>
        <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3">
      <c r="A51" s="82"/>
      <c r="B51" s="350"/>
      <c r="C51" s="350"/>
      <c r="D51" s="351"/>
      <c r="E51" s="391"/>
      <c r="F51" s="392"/>
      <c r="G51" s="392"/>
      <c r="H51" s="392"/>
      <c r="I51" s="393"/>
      <c r="J51" s="75" t="str">
        <f>IF(AND('Mapa final'!$Y$37="Muy Baja",'Mapa final'!$AA$37="Leve"),CONCATENATE("R6C",'Mapa final'!$O$37),"")</f>
        <v/>
      </c>
      <c r="K51" s="76" t="str">
        <f>IF(AND('Mapa final'!$Y$38="Muy Baja",'Mapa final'!$AA$38="Leve"),CONCATENATE("R6C",'Mapa final'!$O$38),"")</f>
        <v/>
      </c>
      <c r="L51" s="76" t="str">
        <f>IF(AND('Mapa final'!$Y$39="Muy Baja",'Mapa final'!$AA$39="Leve"),CONCATENATE("R6C",'Mapa final'!$O$39),"")</f>
        <v/>
      </c>
      <c r="M51" s="76" t="str">
        <f>IF(AND('Mapa final'!$Y$40="Muy Baja",'Mapa final'!$AA$40="Leve"),CONCATENATE("R6C",'Mapa final'!$O$40),"")</f>
        <v/>
      </c>
      <c r="N51" s="76" t="str">
        <f>IF(AND('Mapa final'!$Y$41="Muy Baja",'Mapa final'!$AA$41="Leve"),CONCATENATE("R6C",'Mapa final'!$O$41),"")</f>
        <v/>
      </c>
      <c r="O51" s="77" t="str">
        <f>IF(AND('Mapa final'!$Y$42="Muy Baja",'Mapa final'!$AA$42="Leve"),CONCATENATE("R6C",'Mapa final'!$O$42),"")</f>
        <v/>
      </c>
      <c r="P51" s="75" t="str">
        <f>IF(AND('Mapa final'!$Y$37="Muy Baja",'Mapa final'!$AA$37="Menor"),CONCATENATE("R6C",'Mapa final'!$O$37),"")</f>
        <v/>
      </c>
      <c r="Q51" s="76" t="str">
        <f>IF(AND('Mapa final'!$Y$38="Muy Baja",'Mapa final'!$AA$38="Menor"),CONCATENATE("R6C",'Mapa final'!$O$38),"")</f>
        <v/>
      </c>
      <c r="R51" s="76" t="str">
        <f>IF(AND('Mapa final'!$Y$39="Muy Baja",'Mapa final'!$AA$39="Menor"),CONCATENATE("R6C",'Mapa final'!$O$39),"")</f>
        <v/>
      </c>
      <c r="S51" s="76" t="str">
        <f>IF(AND('Mapa final'!$Y$40="Muy Baja",'Mapa final'!$AA$40="Menor"),CONCATENATE("R6C",'Mapa final'!$O$40),"")</f>
        <v/>
      </c>
      <c r="T51" s="76" t="str">
        <f>IF(AND('Mapa final'!$Y$41="Muy Baja",'Mapa final'!$AA$41="Menor"),CONCATENATE("R6C",'Mapa final'!$O$41),"")</f>
        <v/>
      </c>
      <c r="U51" s="77" t="str">
        <f>IF(AND('Mapa final'!$Y$42="Muy Baja",'Mapa final'!$AA$42="Menor"),CONCATENATE("R6C",'Mapa final'!$O$42),"")</f>
        <v/>
      </c>
      <c r="V51" s="66" t="str">
        <f>IF(AND('Mapa final'!$Y$37="Muy Baja",'Mapa final'!$AA$37="Moderado"),CONCATENATE("R6C",'Mapa final'!$O$37),"")</f>
        <v/>
      </c>
      <c r="W51" s="67" t="str">
        <f>IF(AND('Mapa final'!$Y$38="Muy Baja",'Mapa final'!$AA$38="Moderado"),CONCATENATE("R6C",'Mapa final'!$O$38),"")</f>
        <v/>
      </c>
      <c r="X51" s="67" t="str">
        <f>IF(AND('Mapa final'!$Y$39="Muy Baja",'Mapa final'!$AA$39="Moderado"),CONCATENATE("R6C",'Mapa final'!$O$39),"")</f>
        <v/>
      </c>
      <c r="Y51" s="67" t="str">
        <f>IF(AND('Mapa final'!$Y$40="Muy Baja",'Mapa final'!$AA$40="Moderado"),CONCATENATE("R6C",'Mapa final'!$O$40),"")</f>
        <v/>
      </c>
      <c r="Z51" s="67" t="str">
        <f>IF(AND('Mapa final'!$Y$41="Muy Baja",'Mapa final'!$AA$41="Moderado"),CONCATENATE("R6C",'Mapa final'!$O$41),"")</f>
        <v/>
      </c>
      <c r="AA51" s="68" t="str">
        <f>IF(AND('Mapa final'!$Y$42="Muy Baja",'Mapa final'!$AA$42="Moderado"),CONCATENATE("R6C",'Mapa final'!$O$42),"")</f>
        <v/>
      </c>
      <c r="AB51" s="51" t="str">
        <f>IF(AND('Mapa final'!$Y$37="Muy Baja",'Mapa final'!$AA$37="Mayor"),CONCATENATE("R6C",'Mapa final'!$O$37),"")</f>
        <v/>
      </c>
      <c r="AC51" s="52" t="str">
        <f>IF(AND('Mapa final'!$Y$38="Muy Baja",'Mapa final'!$AA$38="Mayor"),CONCATENATE("R6C",'Mapa final'!$O$38),"")</f>
        <v/>
      </c>
      <c r="AD51" s="52" t="str">
        <f>IF(AND('Mapa final'!$Y$39="Muy Baja",'Mapa final'!$AA$39="Mayor"),CONCATENATE("R6C",'Mapa final'!$O$39),"")</f>
        <v/>
      </c>
      <c r="AE51" s="52" t="str">
        <f>IF(AND('Mapa final'!$Y$40="Muy Baja",'Mapa final'!$AA$40="Mayor"),CONCATENATE("R6C",'Mapa final'!$O$40),"")</f>
        <v/>
      </c>
      <c r="AF51" s="52" t="str">
        <f>IF(AND('Mapa final'!$Y$41="Muy Baja",'Mapa final'!$AA$41="Mayor"),CONCATENATE("R6C",'Mapa final'!$O$41),"")</f>
        <v/>
      </c>
      <c r="AG51" s="53" t="str">
        <f>IF(AND('Mapa final'!$Y$42="Muy Baja",'Mapa final'!$AA$42="Mayor"),CONCATENATE("R6C",'Mapa final'!$O$42),"")</f>
        <v/>
      </c>
      <c r="AH51" s="54" t="str">
        <f>IF(AND('Mapa final'!$Y$37="Muy Baja",'Mapa final'!$AA$37="Catastrófico"),CONCATENATE("R6C",'Mapa final'!$O$37),"")</f>
        <v/>
      </c>
      <c r="AI51" s="55" t="str">
        <f>IF(AND('Mapa final'!$Y$38="Muy Baja",'Mapa final'!$AA$38="Catastrófico"),CONCATENATE("R6C",'Mapa final'!$O$38),"")</f>
        <v/>
      </c>
      <c r="AJ51" s="55" t="str">
        <f>IF(AND('Mapa final'!$Y$39="Muy Baja",'Mapa final'!$AA$39="Catastrófico"),CONCATENATE("R6C",'Mapa final'!$O$39),"")</f>
        <v/>
      </c>
      <c r="AK51" s="55" t="str">
        <f>IF(AND('Mapa final'!$Y$40="Muy Baja",'Mapa final'!$AA$40="Catastrófico"),CONCATENATE("R6C",'Mapa final'!$O$40),"")</f>
        <v/>
      </c>
      <c r="AL51" s="55" t="str">
        <f>IF(AND('Mapa final'!$Y$41="Muy Baja",'Mapa final'!$AA$41="Catastrófico"),CONCATENATE("R6C",'Mapa final'!$O$41),"")</f>
        <v/>
      </c>
      <c r="AM51" s="56" t="str">
        <f>IF(AND('Mapa final'!$Y$42="Muy Baja",'Mapa final'!$AA$42="Catastrófico"),CONCATENATE("R6C",'Mapa final'!$O$42),"")</f>
        <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3">
      <c r="A52" s="82"/>
      <c r="B52" s="350"/>
      <c r="C52" s="350"/>
      <c r="D52" s="351"/>
      <c r="E52" s="391"/>
      <c r="F52" s="392"/>
      <c r="G52" s="392"/>
      <c r="H52" s="392"/>
      <c r="I52" s="393"/>
      <c r="J52" s="75" t="str">
        <f>IF(AND('Mapa final'!$Y$43="Muy Baja",'Mapa final'!$AA$43="Leve"),CONCATENATE("R7C",'Mapa final'!$O$43),"")</f>
        <v/>
      </c>
      <c r="K52" s="76" t="str">
        <f>IF(AND('Mapa final'!$Y$44="Muy Baja",'Mapa final'!$AA$44="Leve"),CONCATENATE("R7C",'Mapa final'!$O$44),"")</f>
        <v/>
      </c>
      <c r="L52" s="76" t="str">
        <f>IF(AND('Mapa final'!$Y$45="Muy Baja",'Mapa final'!$AA$45="Leve"),CONCATENATE("R7C",'Mapa final'!$O$45),"")</f>
        <v/>
      </c>
      <c r="M52" s="76" t="str">
        <f>IF(AND('Mapa final'!$Y$46="Muy Baja",'Mapa final'!$AA$46="Leve"),CONCATENATE("R7C",'Mapa final'!$O$46),"")</f>
        <v/>
      </c>
      <c r="N52" s="76" t="str">
        <f>IF(AND('Mapa final'!$Y$47="Muy Baja",'Mapa final'!$AA$47="Leve"),CONCATENATE("R7C",'Mapa final'!$O$47),"")</f>
        <v/>
      </c>
      <c r="O52" s="77" t="str">
        <f>IF(AND('Mapa final'!$Y$48="Muy Baja",'Mapa final'!$AA$48="Leve"),CONCATENATE("R7C",'Mapa final'!$O$48),"")</f>
        <v/>
      </c>
      <c r="P52" s="75" t="str">
        <f>IF(AND('Mapa final'!$Y$43="Muy Baja",'Mapa final'!$AA$43="Menor"),CONCATENATE("R7C",'Mapa final'!$O$43),"")</f>
        <v/>
      </c>
      <c r="Q52" s="76" t="str">
        <f>IF(AND('Mapa final'!$Y$44="Muy Baja",'Mapa final'!$AA$44="Menor"),CONCATENATE("R7C",'Mapa final'!$O$44),"")</f>
        <v/>
      </c>
      <c r="R52" s="76" t="str">
        <f>IF(AND('Mapa final'!$Y$45="Muy Baja",'Mapa final'!$AA$45="Menor"),CONCATENATE("R7C",'Mapa final'!$O$45),"")</f>
        <v/>
      </c>
      <c r="S52" s="76" t="str">
        <f>IF(AND('Mapa final'!$Y$46="Muy Baja",'Mapa final'!$AA$46="Menor"),CONCATENATE("R7C",'Mapa final'!$O$46),"")</f>
        <v/>
      </c>
      <c r="T52" s="76" t="str">
        <f>IF(AND('Mapa final'!$Y$47="Muy Baja",'Mapa final'!$AA$47="Menor"),CONCATENATE("R7C",'Mapa final'!$O$47),"")</f>
        <v/>
      </c>
      <c r="U52" s="77" t="str">
        <f>IF(AND('Mapa final'!$Y$48="Muy Baja",'Mapa final'!$AA$48="Menor"),CONCATENATE("R7C",'Mapa final'!$O$48),"")</f>
        <v/>
      </c>
      <c r="V52" s="66" t="str">
        <f>IF(AND('Mapa final'!$Y$43="Muy Baja",'Mapa final'!$AA$43="Moderado"),CONCATENATE("R7C",'Mapa final'!$O$43),"")</f>
        <v/>
      </c>
      <c r="W52" s="67" t="str">
        <f>IF(AND('Mapa final'!$Y$44="Muy Baja",'Mapa final'!$AA$44="Moderado"),CONCATENATE("R7C",'Mapa final'!$O$44),"")</f>
        <v/>
      </c>
      <c r="X52" s="67" t="str">
        <f>IF(AND('Mapa final'!$Y$45="Muy Baja",'Mapa final'!$AA$45="Moderado"),CONCATENATE("R7C",'Mapa final'!$O$45),"")</f>
        <v/>
      </c>
      <c r="Y52" s="67" t="str">
        <f>IF(AND('Mapa final'!$Y$46="Muy Baja",'Mapa final'!$AA$46="Moderado"),CONCATENATE("R7C",'Mapa final'!$O$46),"")</f>
        <v/>
      </c>
      <c r="Z52" s="67" t="str">
        <f>IF(AND('Mapa final'!$Y$47="Muy Baja",'Mapa final'!$AA$47="Moderado"),CONCATENATE("R7C",'Mapa final'!$O$47),"")</f>
        <v/>
      </c>
      <c r="AA52" s="68" t="str">
        <f>IF(AND('Mapa final'!$Y$48="Muy Baja",'Mapa final'!$AA$48="Moderado"),CONCATENATE("R7C",'Mapa final'!$O$48),"")</f>
        <v/>
      </c>
      <c r="AB52" s="51" t="str">
        <f>IF(AND('Mapa final'!$Y$43="Muy Baja",'Mapa final'!$AA$43="Mayor"),CONCATENATE("R7C",'Mapa final'!$O$43),"")</f>
        <v/>
      </c>
      <c r="AC52" s="52" t="str">
        <f>IF(AND('Mapa final'!$Y$44="Muy Baja",'Mapa final'!$AA$44="Mayor"),CONCATENATE("R7C",'Mapa final'!$O$44),"")</f>
        <v/>
      </c>
      <c r="AD52" s="52" t="str">
        <f>IF(AND('Mapa final'!$Y$45="Muy Baja",'Mapa final'!$AA$45="Mayor"),CONCATENATE("R7C",'Mapa final'!$O$45),"")</f>
        <v/>
      </c>
      <c r="AE52" s="52" t="str">
        <f>IF(AND('Mapa final'!$Y$46="Muy Baja",'Mapa final'!$AA$46="Mayor"),CONCATENATE("R7C",'Mapa final'!$O$46),"")</f>
        <v/>
      </c>
      <c r="AF52" s="52" t="str">
        <f>IF(AND('Mapa final'!$Y$47="Muy Baja",'Mapa final'!$AA$47="Mayor"),CONCATENATE("R7C",'Mapa final'!$O$47),"")</f>
        <v/>
      </c>
      <c r="AG52" s="53" t="str">
        <f>IF(AND('Mapa final'!$Y$48="Muy Baja",'Mapa final'!$AA$48="Mayor"),CONCATENATE("R7C",'Mapa final'!$O$48),"")</f>
        <v/>
      </c>
      <c r="AH52" s="54" t="str">
        <f>IF(AND('Mapa final'!$Y$43="Muy Baja",'Mapa final'!$AA$43="Catastrófico"),CONCATENATE("R7C",'Mapa final'!$O$43),"")</f>
        <v/>
      </c>
      <c r="AI52" s="55" t="str">
        <f>IF(AND('Mapa final'!$Y$44="Muy Baja",'Mapa final'!$AA$44="Catastrófico"),CONCATENATE("R7C",'Mapa final'!$O$44),"")</f>
        <v/>
      </c>
      <c r="AJ52" s="55" t="str">
        <f>IF(AND('Mapa final'!$Y$45="Muy Baja",'Mapa final'!$AA$45="Catastrófico"),CONCATENATE("R7C",'Mapa final'!$O$45),"")</f>
        <v/>
      </c>
      <c r="AK52" s="55" t="str">
        <f>IF(AND('Mapa final'!$Y$46="Muy Baja",'Mapa final'!$AA$46="Catastrófico"),CONCATENATE("R7C",'Mapa final'!$O$46),"")</f>
        <v/>
      </c>
      <c r="AL52" s="55" t="str">
        <f>IF(AND('Mapa final'!$Y$47="Muy Baja",'Mapa final'!$AA$47="Catastrófico"),CONCATENATE("R7C",'Mapa final'!$O$47),"")</f>
        <v/>
      </c>
      <c r="AM52" s="56" t="str">
        <f>IF(AND('Mapa final'!$Y$48="Muy Baja",'Mapa final'!$AA$48="Catastrófico"),CONCATENATE("R7C",'Mapa final'!$O$48),"")</f>
        <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3">
      <c r="A53" s="82"/>
      <c r="B53" s="350"/>
      <c r="C53" s="350"/>
      <c r="D53" s="351"/>
      <c r="E53" s="391"/>
      <c r="F53" s="392"/>
      <c r="G53" s="392"/>
      <c r="H53" s="392"/>
      <c r="I53" s="393"/>
      <c r="J53" s="75" t="str">
        <f>IF(AND('Mapa final'!$Y$49="Muy Baja",'Mapa final'!$AA$49="Leve"),CONCATENATE("R8C",'Mapa final'!$O$49),"")</f>
        <v/>
      </c>
      <c r="K53" s="76" t="str">
        <f>IF(AND('Mapa final'!$Y$50="Muy Baja",'Mapa final'!$AA$50="Leve"),CONCATENATE("R8C",'Mapa final'!$O$50),"")</f>
        <v/>
      </c>
      <c r="L53" s="76" t="str">
        <f>IF(AND('Mapa final'!$Y$51="Muy Baja",'Mapa final'!$AA$51="Leve"),CONCATENATE("R8C",'Mapa final'!$O$51),"")</f>
        <v/>
      </c>
      <c r="M53" s="76" t="str">
        <f>IF(AND('Mapa final'!$Y$52="Muy Baja",'Mapa final'!$AA$52="Leve"),CONCATENATE("R8C",'Mapa final'!$O$52),"")</f>
        <v/>
      </c>
      <c r="N53" s="76" t="str">
        <f>IF(AND('Mapa final'!$Y$53="Muy Baja",'Mapa final'!$AA$53="Leve"),CONCATENATE("R8C",'Mapa final'!$O$53),"")</f>
        <v/>
      </c>
      <c r="O53" s="77" t="str">
        <f>IF(AND('Mapa final'!$Y$54="Muy Baja",'Mapa final'!$AA$54="Leve"),CONCATENATE("R8C",'Mapa final'!$O$54),"")</f>
        <v/>
      </c>
      <c r="P53" s="75" t="str">
        <f>IF(AND('Mapa final'!$Y$49="Muy Baja",'Mapa final'!$AA$49="Menor"),CONCATENATE("R8C",'Mapa final'!$O$49),"")</f>
        <v/>
      </c>
      <c r="Q53" s="76" t="str">
        <f>IF(AND('Mapa final'!$Y$50="Muy Baja",'Mapa final'!$AA$50="Menor"),CONCATENATE("R8C",'Mapa final'!$O$50),"")</f>
        <v/>
      </c>
      <c r="R53" s="76" t="str">
        <f>IF(AND('Mapa final'!$Y$51="Muy Baja",'Mapa final'!$AA$51="Menor"),CONCATENATE("R8C",'Mapa final'!$O$51),"")</f>
        <v/>
      </c>
      <c r="S53" s="76" t="str">
        <f>IF(AND('Mapa final'!$Y$52="Muy Baja",'Mapa final'!$AA$52="Menor"),CONCATENATE("R8C",'Mapa final'!$O$52),"")</f>
        <v/>
      </c>
      <c r="T53" s="76" t="str">
        <f>IF(AND('Mapa final'!$Y$53="Muy Baja",'Mapa final'!$AA$53="Menor"),CONCATENATE("R8C",'Mapa final'!$O$53),"")</f>
        <v/>
      </c>
      <c r="U53" s="77" t="str">
        <f>IF(AND('Mapa final'!$Y$54="Muy Baja",'Mapa final'!$AA$54="Menor"),CONCATENATE("R8C",'Mapa final'!$O$54),"")</f>
        <v/>
      </c>
      <c r="V53" s="66" t="str">
        <f>IF(AND('Mapa final'!$Y$49="Muy Baja",'Mapa final'!$AA$49="Moderado"),CONCATENATE("R8C",'Mapa final'!$O$49),"")</f>
        <v/>
      </c>
      <c r="W53" s="67" t="str">
        <f>IF(AND('Mapa final'!$Y$50="Muy Baja",'Mapa final'!$AA$50="Moderado"),CONCATENATE("R8C",'Mapa final'!$O$50),"")</f>
        <v/>
      </c>
      <c r="X53" s="67" t="str">
        <f>IF(AND('Mapa final'!$Y$51="Muy Baja",'Mapa final'!$AA$51="Moderado"),CONCATENATE("R8C",'Mapa final'!$O$51),"")</f>
        <v/>
      </c>
      <c r="Y53" s="67" t="str">
        <f>IF(AND('Mapa final'!$Y$52="Muy Baja",'Mapa final'!$AA$52="Moderado"),CONCATENATE("R8C",'Mapa final'!$O$52),"")</f>
        <v/>
      </c>
      <c r="Z53" s="67" t="str">
        <f>IF(AND('Mapa final'!$Y$53="Muy Baja",'Mapa final'!$AA$53="Moderado"),CONCATENATE("R8C",'Mapa final'!$O$53),"")</f>
        <v/>
      </c>
      <c r="AA53" s="68" t="str">
        <f>IF(AND('Mapa final'!$Y$54="Muy Baja",'Mapa final'!$AA$54="Moderado"),CONCATENATE("R8C",'Mapa final'!$O$54),"")</f>
        <v/>
      </c>
      <c r="AB53" s="51" t="str">
        <f>IF(AND('Mapa final'!$Y$49="Muy Baja",'Mapa final'!$AA$49="Mayor"),CONCATENATE("R8C",'Mapa final'!$O$49),"")</f>
        <v/>
      </c>
      <c r="AC53" s="52" t="str">
        <f>IF(AND('Mapa final'!$Y$50="Muy Baja",'Mapa final'!$AA$50="Mayor"),CONCATENATE("R8C",'Mapa final'!$O$50),"")</f>
        <v/>
      </c>
      <c r="AD53" s="52" t="str">
        <f>IF(AND('Mapa final'!$Y$51="Muy Baja",'Mapa final'!$AA$51="Mayor"),CONCATENATE("R8C",'Mapa final'!$O$51),"")</f>
        <v/>
      </c>
      <c r="AE53" s="52" t="str">
        <f>IF(AND('Mapa final'!$Y$52="Muy Baja",'Mapa final'!$AA$52="Mayor"),CONCATENATE("R8C",'Mapa final'!$O$52),"")</f>
        <v/>
      </c>
      <c r="AF53" s="52" t="str">
        <f>IF(AND('Mapa final'!$Y$53="Muy Baja",'Mapa final'!$AA$53="Mayor"),CONCATENATE("R8C",'Mapa final'!$O$53),"")</f>
        <v/>
      </c>
      <c r="AG53" s="53" t="str">
        <f>IF(AND('Mapa final'!$Y$54="Muy Baja",'Mapa final'!$AA$54="Mayor"),CONCATENATE("R8C",'Mapa final'!$O$54),"")</f>
        <v/>
      </c>
      <c r="AH53" s="54" t="str">
        <f>IF(AND('Mapa final'!$Y$49="Muy Baja",'Mapa final'!$AA$49="Catastrófico"),CONCATENATE("R8C",'Mapa final'!$O$49),"")</f>
        <v/>
      </c>
      <c r="AI53" s="55" t="str">
        <f>IF(AND('Mapa final'!$Y$50="Muy Baja",'Mapa final'!$AA$50="Catastrófico"),CONCATENATE("R8C",'Mapa final'!$O$50),"")</f>
        <v/>
      </c>
      <c r="AJ53" s="55" t="str">
        <f>IF(AND('Mapa final'!$Y$51="Muy Baja",'Mapa final'!$AA$51="Catastrófico"),CONCATENATE("R8C",'Mapa final'!$O$51),"")</f>
        <v/>
      </c>
      <c r="AK53" s="55" t="str">
        <f>IF(AND('Mapa final'!$Y$52="Muy Baja",'Mapa final'!$AA$52="Catastrófico"),CONCATENATE("R8C",'Mapa final'!$O$52),"")</f>
        <v>R8C1</v>
      </c>
      <c r="AL53" s="55" t="str">
        <f>IF(AND('Mapa final'!$Y$53="Muy Baja",'Mapa final'!$AA$53="Catastrófico"),CONCATENATE("R8C",'Mapa final'!$O$53),"")</f>
        <v/>
      </c>
      <c r="AM53" s="56" t="str">
        <f>IF(AND('Mapa final'!$Y$54="Muy Baja",'Mapa final'!$AA$54="Catastrófico"),CONCATENATE("R8C",'Mapa final'!$O$54),"")</f>
        <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3">
      <c r="A54" s="82"/>
      <c r="B54" s="350"/>
      <c r="C54" s="350"/>
      <c r="D54" s="351"/>
      <c r="E54" s="391"/>
      <c r="F54" s="392"/>
      <c r="G54" s="392"/>
      <c r="H54" s="392"/>
      <c r="I54" s="393"/>
      <c r="J54" s="75" t="str">
        <f>IF(AND('Mapa final'!$Y$55="Muy Baja",'Mapa final'!$AA$55="Leve"),CONCATENATE("R9C",'Mapa final'!$O$55),"")</f>
        <v/>
      </c>
      <c r="K54" s="76" t="str">
        <f>IF(AND('Mapa final'!$Y$56="Muy Baja",'Mapa final'!$AA$56="Leve"),CONCATENATE("R9C",'Mapa final'!$O$56),"")</f>
        <v/>
      </c>
      <c r="L54" s="76" t="str">
        <f>IF(AND('Mapa final'!$Y$57="Muy Baja",'Mapa final'!$AA$57="Leve"),CONCATENATE("R9C",'Mapa final'!$O$57),"")</f>
        <v/>
      </c>
      <c r="M54" s="76" t="str">
        <f>IF(AND('Mapa final'!$Y$58="Muy Baja",'Mapa final'!$AA$58="Leve"),CONCATENATE("R9C",'Mapa final'!$O$58),"")</f>
        <v/>
      </c>
      <c r="N54" s="76" t="str">
        <f>IF(AND('Mapa final'!$Y$59="Muy Baja",'Mapa final'!$AA$59="Leve"),CONCATENATE("R9C",'Mapa final'!$O$59),"")</f>
        <v/>
      </c>
      <c r="O54" s="77" t="str">
        <f>IF(AND('Mapa final'!$Y$60="Muy Baja",'Mapa final'!$AA$60="Leve"),CONCATENATE("R9C",'Mapa final'!$O$60),"")</f>
        <v/>
      </c>
      <c r="P54" s="75" t="str">
        <f>IF(AND('Mapa final'!$Y$55="Muy Baja",'Mapa final'!$AA$55="Menor"),CONCATENATE("R9C",'Mapa final'!$O$55),"")</f>
        <v/>
      </c>
      <c r="Q54" s="76" t="str">
        <f>IF(AND('Mapa final'!$Y$56="Muy Baja",'Mapa final'!$AA$56="Menor"),CONCATENATE("R9C",'Mapa final'!$O$56),"")</f>
        <v/>
      </c>
      <c r="R54" s="76" t="str">
        <f>IF(AND('Mapa final'!$Y$57="Muy Baja",'Mapa final'!$AA$57="Menor"),CONCATENATE("R9C",'Mapa final'!$O$57),"")</f>
        <v/>
      </c>
      <c r="S54" s="76" t="str">
        <f>IF(AND('Mapa final'!$Y$58="Muy Baja",'Mapa final'!$AA$58="Menor"),CONCATENATE("R9C",'Mapa final'!$O$58),"")</f>
        <v/>
      </c>
      <c r="T54" s="76" t="str">
        <f>IF(AND('Mapa final'!$Y$59="Muy Baja",'Mapa final'!$AA$59="Menor"),CONCATENATE("R9C",'Mapa final'!$O$59),"")</f>
        <v/>
      </c>
      <c r="U54" s="77" t="str">
        <f>IF(AND('Mapa final'!$Y$60="Muy Baja",'Mapa final'!$AA$60="Menor"),CONCATENATE("R9C",'Mapa final'!$O$60),"")</f>
        <v/>
      </c>
      <c r="V54" s="66" t="str">
        <f>IF(AND('Mapa final'!$Y$55="Muy Baja",'Mapa final'!$AA$55="Moderado"),CONCATENATE("R9C",'Mapa final'!$O$55),"")</f>
        <v/>
      </c>
      <c r="W54" s="67" t="str">
        <f>IF(AND('Mapa final'!$Y$56="Muy Baja",'Mapa final'!$AA$56="Moderado"),CONCATENATE("R9C",'Mapa final'!$O$56),"")</f>
        <v/>
      </c>
      <c r="X54" s="67" t="str">
        <f>IF(AND('Mapa final'!$Y$57="Muy Baja",'Mapa final'!$AA$57="Moderado"),CONCATENATE("R9C",'Mapa final'!$O$57),"")</f>
        <v/>
      </c>
      <c r="Y54" s="67" t="str">
        <f>IF(AND('Mapa final'!$Y$58="Muy Baja",'Mapa final'!$AA$58="Moderado"),CONCATENATE("R9C",'Mapa final'!$O$58),"")</f>
        <v/>
      </c>
      <c r="Z54" s="67" t="str">
        <f>IF(AND('Mapa final'!$Y$59="Muy Baja",'Mapa final'!$AA$59="Moderado"),CONCATENATE("R9C",'Mapa final'!$O$59),"")</f>
        <v/>
      </c>
      <c r="AA54" s="68" t="str">
        <f>IF(AND('Mapa final'!$Y$60="Muy Baja",'Mapa final'!$AA$60="Moderado"),CONCATENATE("R9C",'Mapa final'!$O$60),"")</f>
        <v/>
      </c>
      <c r="AB54" s="51" t="str">
        <f>IF(AND('Mapa final'!$Y$55="Muy Baja",'Mapa final'!$AA$55="Mayor"),CONCATENATE("R9C",'Mapa final'!$O$55),"")</f>
        <v/>
      </c>
      <c r="AC54" s="52" t="str">
        <f>IF(AND('Mapa final'!$Y$56="Muy Baja",'Mapa final'!$AA$56="Mayor"),CONCATENATE("R9C",'Mapa final'!$O$56),"")</f>
        <v/>
      </c>
      <c r="AD54" s="52" t="str">
        <f>IF(AND('Mapa final'!$Y$57="Muy Baja",'Mapa final'!$AA$57="Mayor"),CONCATENATE("R9C",'Mapa final'!$O$57),"")</f>
        <v/>
      </c>
      <c r="AE54" s="52" t="str">
        <f>IF(AND('Mapa final'!$Y$58="Muy Baja",'Mapa final'!$AA$58="Mayor"),CONCATENATE("R9C",'Mapa final'!$O$58),"")</f>
        <v/>
      </c>
      <c r="AF54" s="52" t="str">
        <f>IF(AND('Mapa final'!$Y$59="Muy Baja",'Mapa final'!$AA$59="Mayor"),CONCATENATE("R9C",'Mapa final'!$O$59),"")</f>
        <v/>
      </c>
      <c r="AG54" s="53" t="str">
        <f>IF(AND('Mapa final'!$Y$60="Muy Baja",'Mapa final'!$AA$60="Mayor"),CONCATENATE("R9C",'Mapa final'!$O$60),"")</f>
        <v/>
      </c>
      <c r="AH54" s="54" t="str">
        <f>IF(AND('Mapa final'!$Y$55="Muy Baja",'Mapa final'!$AA$55="Catastrófico"),CONCATENATE("R9C",'Mapa final'!$O$55),"")</f>
        <v/>
      </c>
      <c r="AI54" s="55" t="str">
        <f>IF(AND('Mapa final'!$Y$56="Muy Baja",'Mapa final'!$AA$56="Catastrófico"),CONCATENATE("R9C",'Mapa final'!$O$56),"")</f>
        <v/>
      </c>
      <c r="AJ54" s="55" t="str">
        <f>IF(AND('Mapa final'!$Y$57="Muy Baja",'Mapa final'!$AA$57="Catastrófico"),CONCATENATE("R9C",'Mapa final'!$O$57),"")</f>
        <v/>
      </c>
      <c r="AK54" s="55" t="str">
        <f>IF(AND('Mapa final'!$Y$58="Muy Baja",'Mapa final'!$AA$58="Catastrófico"),CONCATENATE("R9C",'Mapa final'!$O$58),"")</f>
        <v/>
      </c>
      <c r="AL54" s="55" t="str">
        <f>IF(AND('Mapa final'!$Y$59="Muy Baja",'Mapa final'!$AA$59="Catastrófico"),CONCATENATE("R9C",'Mapa final'!$O$59),"")</f>
        <v/>
      </c>
      <c r="AM54" s="56" t="str">
        <f>IF(AND('Mapa final'!$Y$60="Muy Baja",'Mapa final'!$AA$60="Catastrófico"),CONCATENATE("R9C",'Mapa final'!$O$60),"")</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5">
      <c r="A55" s="82"/>
      <c r="B55" s="350"/>
      <c r="C55" s="350"/>
      <c r="D55" s="351"/>
      <c r="E55" s="394"/>
      <c r="F55" s="395"/>
      <c r="G55" s="395"/>
      <c r="H55" s="395"/>
      <c r="I55" s="396"/>
      <c r="J55" s="78" t="str">
        <f>IF(AND('Mapa final'!$Y$61="Muy Baja",'Mapa final'!$AA$61="Leve"),CONCATENATE("R10C",'Mapa final'!$O$61),"")</f>
        <v/>
      </c>
      <c r="K55" s="79" t="str">
        <f>IF(AND('Mapa final'!$Y$62="Muy Baja",'Mapa final'!$AA$62="Leve"),CONCATENATE("R10C",'Mapa final'!$O$62),"")</f>
        <v/>
      </c>
      <c r="L55" s="79" t="str">
        <f>IF(AND('Mapa final'!$Y$63="Muy Baja",'Mapa final'!$AA$63="Leve"),CONCATENATE("R10C",'Mapa final'!$O$63),"")</f>
        <v/>
      </c>
      <c r="M55" s="79" t="str">
        <f>IF(AND('Mapa final'!$Y$64="Muy Baja",'Mapa final'!$AA$64="Leve"),CONCATENATE("R10C",'Mapa final'!$O$64),"")</f>
        <v/>
      </c>
      <c r="N55" s="79" t="str">
        <f>IF(AND('Mapa final'!$Y$65="Muy Baja",'Mapa final'!$AA$65="Leve"),CONCATENATE("R10C",'Mapa final'!$O$65),"")</f>
        <v/>
      </c>
      <c r="O55" s="80" t="str">
        <f>IF(AND('Mapa final'!$Y$66="Muy Baja",'Mapa final'!$AA$66="Leve"),CONCATENATE("R10C",'Mapa final'!$O$66),"")</f>
        <v/>
      </c>
      <c r="P55" s="78" t="str">
        <f>IF(AND('Mapa final'!$Y$61="Muy Baja",'Mapa final'!$AA$61="Menor"),CONCATENATE("R10C",'Mapa final'!$O$61),"")</f>
        <v/>
      </c>
      <c r="Q55" s="79" t="str">
        <f>IF(AND('Mapa final'!$Y$62="Muy Baja",'Mapa final'!$AA$62="Menor"),CONCATENATE("R10C",'Mapa final'!$O$62),"")</f>
        <v/>
      </c>
      <c r="R55" s="79" t="str">
        <f>IF(AND('Mapa final'!$Y$63="Muy Baja",'Mapa final'!$AA$63="Menor"),CONCATENATE("R10C",'Mapa final'!$O$63),"")</f>
        <v/>
      </c>
      <c r="S55" s="79" t="str">
        <f>IF(AND('Mapa final'!$Y$64="Muy Baja",'Mapa final'!$AA$64="Menor"),CONCATENATE("R10C",'Mapa final'!$O$64),"")</f>
        <v/>
      </c>
      <c r="T55" s="79" t="str">
        <f>IF(AND('Mapa final'!$Y$65="Muy Baja",'Mapa final'!$AA$65="Menor"),CONCATENATE("R10C",'Mapa final'!$O$65),"")</f>
        <v/>
      </c>
      <c r="U55" s="80" t="str">
        <f>IF(AND('Mapa final'!$Y$66="Muy Baja",'Mapa final'!$AA$66="Menor"),CONCATENATE("R10C",'Mapa final'!$O$66),"")</f>
        <v/>
      </c>
      <c r="V55" s="69" t="str">
        <f>IF(AND('Mapa final'!$Y$61="Muy Baja",'Mapa final'!$AA$61="Moderado"),CONCATENATE("R10C",'Mapa final'!$O$61),"")</f>
        <v/>
      </c>
      <c r="W55" s="70" t="str">
        <f>IF(AND('Mapa final'!$Y$62="Muy Baja",'Mapa final'!$AA$62="Moderado"),CONCATENATE("R10C",'Mapa final'!$O$62),"")</f>
        <v/>
      </c>
      <c r="X55" s="70" t="str">
        <f>IF(AND('Mapa final'!$Y$63="Muy Baja",'Mapa final'!$AA$63="Moderado"),CONCATENATE("R10C",'Mapa final'!$O$63),"")</f>
        <v/>
      </c>
      <c r="Y55" s="70" t="str">
        <f>IF(AND('Mapa final'!$Y$64="Muy Baja",'Mapa final'!$AA$64="Moderado"),CONCATENATE("R10C",'Mapa final'!$O$64),"")</f>
        <v/>
      </c>
      <c r="Z55" s="70" t="str">
        <f>IF(AND('Mapa final'!$Y$65="Muy Baja",'Mapa final'!$AA$65="Moderado"),CONCATENATE("R10C",'Mapa final'!$O$65),"")</f>
        <v/>
      </c>
      <c r="AA55" s="71" t="str">
        <f>IF(AND('Mapa final'!$Y$66="Muy Baja",'Mapa final'!$AA$66="Moderado"),CONCATENATE("R10C",'Mapa final'!$O$66),"")</f>
        <v/>
      </c>
      <c r="AB55" s="57" t="str">
        <f>IF(AND('Mapa final'!$Y$61="Muy Baja",'Mapa final'!$AA$61="Mayor"),CONCATENATE("R10C",'Mapa final'!$O$61),"")</f>
        <v/>
      </c>
      <c r="AC55" s="58" t="str">
        <f>IF(AND('Mapa final'!$Y$62="Muy Baja",'Mapa final'!$AA$62="Mayor"),CONCATENATE("R10C",'Mapa final'!$O$62),"")</f>
        <v/>
      </c>
      <c r="AD55" s="58" t="str">
        <f>IF(AND('Mapa final'!$Y$63="Muy Baja",'Mapa final'!$AA$63="Mayor"),CONCATENATE("R10C",'Mapa final'!$O$63),"")</f>
        <v/>
      </c>
      <c r="AE55" s="58" t="str">
        <f>IF(AND('Mapa final'!$Y$64="Muy Baja",'Mapa final'!$AA$64="Mayor"),CONCATENATE("R10C",'Mapa final'!$O$64),"")</f>
        <v/>
      </c>
      <c r="AF55" s="58" t="str">
        <f>IF(AND('Mapa final'!$Y$65="Muy Baja",'Mapa final'!$AA$65="Mayor"),CONCATENATE("R10C",'Mapa final'!$O$65),"")</f>
        <v/>
      </c>
      <c r="AG55" s="59" t="str">
        <f>IF(AND('Mapa final'!$Y$66="Muy Baja",'Mapa final'!$AA$66="Mayor"),CONCATENATE("R10C",'Mapa final'!$O$66),"")</f>
        <v/>
      </c>
      <c r="AH55" s="60" t="str">
        <f>IF(AND('Mapa final'!$Y$61="Muy Baja",'Mapa final'!$AA$61="Catastrófico"),CONCATENATE("R10C",'Mapa final'!$O$61),"")</f>
        <v/>
      </c>
      <c r="AI55" s="61" t="str">
        <f>IF(AND('Mapa final'!$Y$62="Muy Baja",'Mapa final'!$AA$62="Catastrófico"),CONCATENATE("R10C",'Mapa final'!$O$62),"")</f>
        <v/>
      </c>
      <c r="AJ55" s="61" t="str">
        <f>IF(AND('Mapa final'!$Y$63="Muy Baja",'Mapa final'!$AA$63="Catastrófico"),CONCATENATE("R10C",'Mapa final'!$O$63),"")</f>
        <v/>
      </c>
      <c r="AK55" s="61" t="str">
        <f>IF(AND('Mapa final'!$Y$64="Muy Baja",'Mapa final'!$AA$64="Catastrófico"),CONCATENATE("R10C",'Mapa final'!$O$64),"")</f>
        <v/>
      </c>
      <c r="AL55" s="61" t="str">
        <f>IF(AND('Mapa final'!$Y$65="Muy Baja",'Mapa final'!$AA$65="Catastrófico"),CONCATENATE("R10C",'Mapa final'!$O$65),"")</f>
        <v/>
      </c>
      <c r="AM55" s="62" t="str">
        <f>IF(AND('Mapa final'!$Y$66="Muy Baja",'Mapa final'!$AA$66="Catastrófico"),CONCATENATE("R10C",'Mapa final'!$O$66),"")</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3">
      <c r="A56" s="82"/>
      <c r="B56" s="82"/>
      <c r="C56" s="82"/>
      <c r="D56" s="82"/>
      <c r="E56" s="82"/>
      <c r="F56" s="82"/>
      <c r="G56" s="82"/>
      <c r="H56" s="82"/>
      <c r="I56" s="82"/>
      <c r="J56" s="388" t="s">
        <v>111</v>
      </c>
      <c r="K56" s="389"/>
      <c r="L56" s="389"/>
      <c r="M56" s="389"/>
      <c r="N56" s="389"/>
      <c r="O56" s="390"/>
      <c r="P56" s="388" t="s">
        <v>110</v>
      </c>
      <c r="Q56" s="389"/>
      <c r="R56" s="389"/>
      <c r="S56" s="389"/>
      <c r="T56" s="389"/>
      <c r="U56" s="390"/>
      <c r="V56" s="388" t="s">
        <v>109</v>
      </c>
      <c r="W56" s="389"/>
      <c r="X56" s="389"/>
      <c r="Y56" s="389"/>
      <c r="Z56" s="389"/>
      <c r="AA56" s="390"/>
      <c r="AB56" s="388" t="s">
        <v>108</v>
      </c>
      <c r="AC56" s="397"/>
      <c r="AD56" s="389"/>
      <c r="AE56" s="389"/>
      <c r="AF56" s="389"/>
      <c r="AG56" s="390"/>
      <c r="AH56" s="388" t="s">
        <v>107</v>
      </c>
      <c r="AI56" s="389"/>
      <c r="AJ56" s="389"/>
      <c r="AK56" s="389"/>
      <c r="AL56" s="389"/>
      <c r="AM56" s="390"/>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3">
      <c r="A57" s="82"/>
      <c r="B57" s="82"/>
      <c r="C57" s="82"/>
      <c r="D57" s="82"/>
      <c r="E57" s="82"/>
      <c r="F57" s="82"/>
      <c r="G57" s="82"/>
      <c r="H57" s="82"/>
      <c r="I57" s="82"/>
      <c r="J57" s="391"/>
      <c r="K57" s="392"/>
      <c r="L57" s="392"/>
      <c r="M57" s="392"/>
      <c r="N57" s="392"/>
      <c r="O57" s="393"/>
      <c r="P57" s="391"/>
      <c r="Q57" s="392"/>
      <c r="R57" s="392"/>
      <c r="S57" s="392"/>
      <c r="T57" s="392"/>
      <c r="U57" s="393"/>
      <c r="V57" s="391"/>
      <c r="W57" s="392"/>
      <c r="X57" s="392"/>
      <c r="Y57" s="392"/>
      <c r="Z57" s="392"/>
      <c r="AA57" s="393"/>
      <c r="AB57" s="391"/>
      <c r="AC57" s="392"/>
      <c r="AD57" s="392"/>
      <c r="AE57" s="392"/>
      <c r="AF57" s="392"/>
      <c r="AG57" s="393"/>
      <c r="AH57" s="391"/>
      <c r="AI57" s="392"/>
      <c r="AJ57" s="392"/>
      <c r="AK57" s="392"/>
      <c r="AL57" s="392"/>
      <c r="AM57" s="393"/>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3">
      <c r="A58" s="82"/>
      <c r="B58" s="82"/>
      <c r="C58" s="82"/>
      <c r="D58" s="82"/>
      <c r="E58" s="82"/>
      <c r="F58" s="82"/>
      <c r="G58" s="82"/>
      <c r="H58" s="82"/>
      <c r="I58" s="82"/>
      <c r="J58" s="391"/>
      <c r="K58" s="392"/>
      <c r="L58" s="392"/>
      <c r="M58" s="392"/>
      <c r="N58" s="392"/>
      <c r="O58" s="393"/>
      <c r="P58" s="391"/>
      <c r="Q58" s="392"/>
      <c r="R58" s="392"/>
      <c r="S58" s="392"/>
      <c r="T58" s="392"/>
      <c r="U58" s="393"/>
      <c r="V58" s="391"/>
      <c r="W58" s="392"/>
      <c r="X58" s="392"/>
      <c r="Y58" s="392"/>
      <c r="Z58" s="392"/>
      <c r="AA58" s="393"/>
      <c r="AB58" s="391"/>
      <c r="AC58" s="392"/>
      <c r="AD58" s="392"/>
      <c r="AE58" s="392"/>
      <c r="AF58" s="392"/>
      <c r="AG58" s="393"/>
      <c r="AH58" s="391"/>
      <c r="AI58" s="392"/>
      <c r="AJ58" s="392"/>
      <c r="AK58" s="392"/>
      <c r="AL58" s="392"/>
      <c r="AM58" s="393"/>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3">
      <c r="A59" s="82"/>
      <c r="B59" s="82"/>
      <c r="C59" s="82"/>
      <c r="D59" s="82"/>
      <c r="E59" s="82"/>
      <c r="F59" s="82"/>
      <c r="G59" s="82"/>
      <c r="H59" s="82"/>
      <c r="I59" s="82"/>
      <c r="J59" s="391"/>
      <c r="K59" s="392"/>
      <c r="L59" s="392"/>
      <c r="M59" s="392"/>
      <c r="N59" s="392"/>
      <c r="O59" s="393"/>
      <c r="P59" s="391"/>
      <c r="Q59" s="392"/>
      <c r="R59" s="392"/>
      <c r="S59" s="392"/>
      <c r="T59" s="392"/>
      <c r="U59" s="393"/>
      <c r="V59" s="391"/>
      <c r="W59" s="392"/>
      <c r="X59" s="392"/>
      <c r="Y59" s="392"/>
      <c r="Z59" s="392"/>
      <c r="AA59" s="393"/>
      <c r="AB59" s="391"/>
      <c r="AC59" s="392"/>
      <c r="AD59" s="392"/>
      <c r="AE59" s="392"/>
      <c r="AF59" s="392"/>
      <c r="AG59" s="393"/>
      <c r="AH59" s="391"/>
      <c r="AI59" s="392"/>
      <c r="AJ59" s="392"/>
      <c r="AK59" s="392"/>
      <c r="AL59" s="392"/>
      <c r="AM59" s="393"/>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3">
      <c r="A60" s="82"/>
      <c r="B60" s="82"/>
      <c r="C60" s="82"/>
      <c r="D60" s="82"/>
      <c r="E60" s="82"/>
      <c r="F60" s="82"/>
      <c r="G60" s="82"/>
      <c r="H60" s="82"/>
      <c r="I60" s="82"/>
      <c r="J60" s="391"/>
      <c r="K60" s="392"/>
      <c r="L60" s="392"/>
      <c r="M60" s="392"/>
      <c r="N60" s="392"/>
      <c r="O60" s="393"/>
      <c r="P60" s="391"/>
      <c r="Q60" s="392"/>
      <c r="R60" s="392"/>
      <c r="S60" s="392"/>
      <c r="T60" s="392"/>
      <c r="U60" s="393"/>
      <c r="V60" s="391"/>
      <c r="W60" s="392"/>
      <c r="X60" s="392"/>
      <c r="Y60" s="392"/>
      <c r="Z60" s="392"/>
      <c r="AA60" s="393"/>
      <c r="AB60" s="391"/>
      <c r="AC60" s="392"/>
      <c r="AD60" s="392"/>
      <c r="AE60" s="392"/>
      <c r="AF60" s="392"/>
      <c r="AG60" s="393"/>
      <c r="AH60" s="391"/>
      <c r="AI60" s="392"/>
      <c r="AJ60" s="392"/>
      <c r="AK60" s="392"/>
      <c r="AL60" s="392"/>
      <c r="AM60" s="393"/>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 thickBot="1" x14ac:dyDescent="0.35">
      <c r="A61" s="82"/>
      <c r="B61" s="82"/>
      <c r="C61" s="82"/>
      <c r="D61" s="82"/>
      <c r="E61" s="82"/>
      <c r="F61" s="82"/>
      <c r="G61" s="82"/>
      <c r="H61" s="82"/>
      <c r="I61" s="82"/>
      <c r="J61" s="394"/>
      <c r="K61" s="395"/>
      <c r="L61" s="395"/>
      <c r="M61" s="395"/>
      <c r="N61" s="395"/>
      <c r="O61" s="396"/>
      <c r="P61" s="394"/>
      <c r="Q61" s="395"/>
      <c r="R61" s="395"/>
      <c r="S61" s="395"/>
      <c r="T61" s="395"/>
      <c r="U61" s="396"/>
      <c r="V61" s="394"/>
      <c r="W61" s="395"/>
      <c r="X61" s="395"/>
      <c r="Y61" s="395"/>
      <c r="Z61" s="395"/>
      <c r="AA61" s="396"/>
      <c r="AB61" s="394"/>
      <c r="AC61" s="395"/>
      <c r="AD61" s="395"/>
      <c r="AE61" s="395"/>
      <c r="AF61" s="395"/>
      <c r="AG61" s="396"/>
      <c r="AH61" s="394"/>
      <c r="AI61" s="395"/>
      <c r="AJ61" s="395"/>
      <c r="AK61" s="395"/>
      <c r="AL61" s="395"/>
      <c r="AM61" s="396"/>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3">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3">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x14ac:dyDescent="0.3">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x14ac:dyDescent="0.3">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3">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3">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3">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3">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3">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3">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3">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3">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3">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3">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3">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3">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3">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3">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3">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3">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3">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3">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3">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3">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3">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3">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3">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3">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3">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3">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3">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3">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3">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3">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3">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3">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3">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3">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3">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3">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3">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3">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3">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3">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3">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3">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3">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3">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3">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3">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3">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3">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3">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3">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3">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3">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3">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3">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3">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3">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3">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3">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3">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3">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3">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3">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3">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3">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3">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3">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3">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3">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3">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3">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3">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3">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3">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3">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3">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3">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3">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3">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3">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3">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3">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3">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3">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3">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3">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3">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3">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3">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3">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3">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3">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3">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3">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3">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3">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3">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3">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3">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3">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3">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3">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3">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3">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3">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3">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3">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3">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3">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3">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3">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3">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3">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3">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3">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3">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3">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3">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3">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3">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3">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3">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3">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3">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3">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3">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3">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3">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3">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3">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3">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3">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3">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3">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3">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3">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3">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3">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3">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3">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3">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3">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3">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3">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3">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3">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3">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3">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3">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3">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3">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3">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3">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3">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3">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3">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3">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3">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3">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3">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3">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3">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3">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3">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3">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3">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3">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3">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3">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3">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3">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3">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3">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3">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3">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3">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3">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3">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3">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3">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3">
      <c r="A245" s="82"/>
    </row>
    <row r="246" spans="1:60" x14ac:dyDescent="0.3">
      <c r="A246" s="82"/>
    </row>
    <row r="247" spans="1:60" x14ac:dyDescent="0.3">
      <c r="A247" s="82"/>
    </row>
    <row r="248" spans="1:60" x14ac:dyDescent="0.3">
      <c r="A248" s="82"/>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4.4" x14ac:dyDescent="0.3"/>
  <cols>
    <col min="2" max="2" width="24.109375" customWidth="1"/>
    <col min="3" max="3" width="70.109375" customWidth="1"/>
    <col min="4" max="4" width="29.88671875" customWidth="1"/>
  </cols>
  <sheetData>
    <row r="1" spans="1:37" ht="23.4" x14ac:dyDescent="0.3">
      <c r="A1" s="82"/>
      <c r="B1" s="437" t="s">
        <v>54</v>
      </c>
      <c r="C1" s="437"/>
      <c r="D1" s="437"/>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3">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2" x14ac:dyDescent="0.3">
      <c r="A3" s="82"/>
      <c r="B3" s="10"/>
      <c r="C3" s="11" t="s">
        <v>51</v>
      </c>
      <c r="D3" s="11" t="s">
        <v>4</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0.4" x14ac:dyDescent="0.3">
      <c r="A4" s="82"/>
      <c r="B4" s="12" t="s">
        <v>50</v>
      </c>
      <c r="C4" s="13" t="s">
        <v>101</v>
      </c>
      <c r="D4" s="14">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0.4" x14ac:dyDescent="0.3">
      <c r="A5" s="82"/>
      <c r="B5" s="15" t="s">
        <v>52</v>
      </c>
      <c r="C5" s="16" t="s">
        <v>102</v>
      </c>
      <c r="D5" s="17">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0.4" x14ac:dyDescent="0.3">
      <c r="A6" s="82"/>
      <c r="B6" s="18" t="s">
        <v>106</v>
      </c>
      <c r="C6" s="16" t="s">
        <v>103</v>
      </c>
      <c r="D6" s="17">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5.599999999999994" x14ac:dyDescent="0.3">
      <c r="A7" s="82"/>
      <c r="B7" s="19" t="s">
        <v>6</v>
      </c>
      <c r="C7" s="16" t="s">
        <v>104</v>
      </c>
      <c r="D7" s="17">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0.4" x14ac:dyDescent="0.3">
      <c r="A8" s="82"/>
      <c r="B8" s="20" t="s">
        <v>53</v>
      </c>
      <c r="C8" s="16" t="s">
        <v>105</v>
      </c>
      <c r="D8" s="17">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3">
      <c r="A9" s="82"/>
      <c r="B9" s="106"/>
      <c r="C9" s="106"/>
      <c r="D9" s="106"/>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x14ac:dyDescent="0.3">
      <c r="A10" s="82"/>
      <c r="B10" s="107"/>
      <c r="C10" s="106"/>
      <c r="D10" s="106"/>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3">
      <c r="A11" s="82"/>
      <c r="B11" s="106"/>
      <c r="C11" s="106"/>
      <c r="D11" s="106"/>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3">
      <c r="A12" s="82"/>
      <c r="B12" s="106"/>
      <c r="C12" s="106"/>
      <c r="D12" s="10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3">
      <c r="A13" s="82"/>
      <c r="B13" s="106"/>
      <c r="C13" s="106"/>
      <c r="D13" s="106"/>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3">
      <c r="A14" s="82"/>
      <c r="B14" s="106"/>
      <c r="C14" s="106"/>
      <c r="D14" s="106"/>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3">
      <c r="A15" s="82"/>
      <c r="B15" s="106"/>
      <c r="C15" s="106"/>
      <c r="D15" s="106"/>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3">
      <c r="A16" s="82"/>
      <c r="B16" s="106"/>
      <c r="C16" s="106"/>
      <c r="D16" s="106"/>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3">
      <c r="A17" s="82"/>
      <c r="B17" s="106"/>
      <c r="C17" s="106"/>
      <c r="D17" s="106"/>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3">
      <c r="A18" s="82"/>
      <c r="B18" s="106"/>
      <c r="C18" s="106"/>
      <c r="D18" s="106"/>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3">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3">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3">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3">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3">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3">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3">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3">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3">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3">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3">
      <c r="A35" s="82"/>
    </row>
    <row r="36" spans="1:31" x14ac:dyDescent="0.3">
      <c r="A36" s="82"/>
    </row>
    <row r="37" spans="1:31" x14ac:dyDescent="0.3">
      <c r="A37" s="82"/>
    </row>
    <row r="38" spans="1:31" x14ac:dyDescent="0.3">
      <c r="A38" s="82"/>
    </row>
    <row r="39" spans="1:31" x14ac:dyDescent="0.3">
      <c r="A39" s="82"/>
    </row>
    <row r="40" spans="1:31" x14ac:dyDescent="0.3">
      <c r="A40" s="82"/>
    </row>
    <row r="41" spans="1:31" x14ac:dyDescent="0.3">
      <c r="A41" s="82"/>
    </row>
    <row r="42" spans="1:31" x14ac:dyDescent="0.3">
      <c r="A42" s="82"/>
    </row>
    <row r="43" spans="1:31" x14ac:dyDescent="0.3">
      <c r="A43" s="82"/>
    </row>
    <row r="44" spans="1:31" x14ac:dyDescent="0.3">
      <c r="A44" s="82"/>
    </row>
    <row r="45" spans="1:31" x14ac:dyDescent="0.3">
      <c r="A45" s="82"/>
    </row>
    <row r="46" spans="1:31" x14ac:dyDescent="0.3">
      <c r="A46" s="82"/>
    </row>
    <row r="47" spans="1:31" x14ac:dyDescent="0.3">
      <c r="A47" s="82"/>
    </row>
    <row r="48" spans="1:31" x14ac:dyDescent="0.3">
      <c r="A48" s="82"/>
    </row>
    <row r="49" spans="1:1" x14ac:dyDescent="0.3">
      <c r="A49" s="82"/>
    </row>
    <row r="50" spans="1:1" x14ac:dyDescent="0.3">
      <c r="A50" s="82"/>
    </row>
    <row r="51" spans="1:1" x14ac:dyDescent="0.3">
      <c r="A51" s="82"/>
    </row>
    <row r="52" spans="1:1" x14ac:dyDescent="0.3">
      <c r="A52" s="82"/>
    </row>
    <row r="53" spans="1:1" x14ac:dyDescent="0.3">
      <c r="A53" s="82"/>
    </row>
    <row r="54" spans="1:1" x14ac:dyDescent="0.3">
      <c r="A54" s="82"/>
    </row>
    <row r="55" spans="1:1" x14ac:dyDescent="0.3">
      <c r="A55" s="82"/>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176" zoomScale="60" zoomScaleNormal="60" workbookViewId="0">
      <selection activeCell="A6" sqref="A6"/>
    </sheetView>
  </sheetViews>
  <sheetFormatPr baseColWidth="10" defaultRowHeight="14.4" x14ac:dyDescent="0.3"/>
  <cols>
    <col min="2" max="2" width="40.44140625" customWidth="1"/>
    <col min="3" max="3" width="74.88671875" customWidth="1"/>
    <col min="4" max="4" width="135" bestFit="1" customWidth="1"/>
    <col min="5" max="5" width="144.6640625" bestFit="1" customWidth="1"/>
  </cols>
  <sheetData>
    <row r="1" spans="1:21" ht="32.4" x14ac:dyDescent="0.3">
      <c r="A1" s="82"/>
      <c r="B1" s="438" t="s">
        <v>62</v>
      </c>
      <c r="C1" s="438"/>
      <c r="D1" s="438"/>
      <c r="E1" s="82"/>
      <c r="F1" s="82"/>
      <c r="G1" s="82"/>
      <c r="H1" s="82"/>
      <c r="I1" s="82"/>
      <c r="J1" s="82"/>
      <c r="K1" s="82"/>
      <c r="L1" s="82"/>
      <c r="M1" s="82"/>
      <c r="N1" s="82"/>
      <c r="O1" s="82"/>
      <c r="P1" s="82"/>
      <c r="Q1" s="82"/>
      <c r="R1" s="82"/>
      <c r="S1" s="82"/>
      <c r="T1" s="82"/>
      <c r="U1" s="82"/>
    </row>
    <row r="2" spans="1:21" x14ac:dyDescent="0.3">
      <c r="A2" s="82"/>
      <c r="B2" s="82"/>
      <c r="C2" s="82"/>
      <c r="D2" s="82"/>
      <c r="E2" s="82"/>
      <c r="F2" s="82"/>
      <c r="G2" s="82"/>
      <c r="H2" s="82"/>
      <c r="I2" s="82"/>
      <c r="J2" s="82"/>
      <c r="K2" s="82"/>
      <c r="L2" s="82"/>
      <c r="M2" s="82"/>
      <c r="N2" s="82"/>
      <c r="O2" s="82"/>
      <c r="P2" s="82"/>
      <c r="Q2" s="82"/>
      <c r="R2" s="82"/>
      <c r="S2" s="82"/>
      <c r="T2" s="82"/>
      <c r="U2" s="82"/>
    </row>
    <row r="3" spans="1:21" ht="30" x14ac:dyDescent="0.3">
      <c r="A3" s="82"/>
      <c r="B3" s="103"/>
      <c r="C3" s="35" t="s">
        <v>55</v>
      </c>
      <c r="D3" s="35" t="s">
        <v>56</v>
      </c>
      <c r="E3" s="82"/>
      <c r="F3" s="82"/>
      <c r="G3" s="82"/>
      <c r="H3" s="82"/>
      <c r="I3" s="82"/>
      <c r="J3" s="82"/>
      <c r="K3" s="82"/>
      <c r="L3" s="82"/>
      <c r="M3" s="82"/>
      <c r="N3" s="82"/>
      <c r="O3" s="82"/>
      <c r="P3" s="82"/>
      <c r="Q3" s="82"/>
      <c r="R3" s="82"/>
      <c r="S3" s="82"/>
      <c r="T3" s="82"/>
      <c r="U3" s="82"/>
    </row>
    <row r="4" spans="1:21" ht="32.4" x14ac:dyDescent="0.3">
      <c r="A4" s="102" t="s">
        <v>82</v>
      </c>
      <c r="B4" s="38" t="s">
        <v>100</v>
      </c>
      <c r="C4" s="43" t="s">
        <v>155</v>
      </c>
      <c r="D4" s="36" t="s">
        <v>96</v>
      </c>
      <c r="E4" s="82"/>
      <c r="F4" s="82"/>
      <c r="G4" s="82"/>
      <c r="H4" s="82"/>
      <c r="I4" s="82"/>
      <c r="J4" s="82"/>
      <c r="K4" s="82"/>
      <c r="L4" s="82"/>
      <c r="M4" s="82"/>
      <c r="N4" s="82"/>
      <c r="O4" s="82"/>
      <c r="P4" s="82"/>
      <c r="Q4" s="82"/>
      <c r="R4" s="82"/>
      <c r="S4" s="82"/>
      <c r="T4" s="82"/>
      <c r="U4" s="82"/>
    </row>
    <row r="5" spans="1:21" ht="64.8" x14ac:dyDescent="0.3">
      <c r="A5" s="102" t="s">
        <v>83</v>
      </c>
      <c r="B5" s="39" t="s">
        <v>58</v>
      </c>
      <c r="C5" s="44" t="s">
        <v>92</v>
      </c>
      <c r="D5" s="37" t="s">
        <v>97</v>
      </c>
      <c r="E5" s="82"/>
      <c r="F5" s="82"/>
      <c r="G5" s="82"/>
      <c r="H5" s="82"/>
      <c r="I5" s="82"/>
      <c r="J5" s="82"/>
      <c r="K5" s="82"/>
      <c r="L5" s="82"/>
      <c r="M5" s="82"/>
      <c r="N5" s="82"/>
      <c r="O5" s="82"/>
      <c r="P5" s="82"/>
      <c r="Q5" s="82"/>
      <c r="R5" s="82"/>
      <c r="S5" s="82"/>
      <c r="T5" s="82"/>
      <c r="U5" s="82"/>
    </row>
    <row r="6" spans="1:21" ht="64.8" x14ac:dyDescent="0.3">
      <c r="A6" s="102" t="s">
        <v>80</v>
      </c>
      <c r="B6" s="40" t="s">
        <v>59</v>
      </c>
      <c r="C6" s="44" t="s">
        <v>93</v>
      </c>
      <c r="D6" s="37" t="s">
        <v>99</v>
      </c>
      <c r="E6" s="82"/>
      <c r="F6" s="82"/>
      <c r="G6" s="82"/>
      <c r="H6" s="82"/>
      <c r="I6" s="82"/>
      <c r="J6" s="82"/>
      <c r="K6" s="82"/>
      <c r="L6" s="82"/>
      <c r="M6" s="82"/>
      <c r="N6" s="82"/>
      <c r="O6" s="82"/>
      <c r="P6" s="82"/>
      <c r="Q6" s="82"/>
      <c r="R6" s="82"/>
      <c r="S6" s="82"/>
      <c r="T6" s="82"/>
      <c r="U6" s="82"/>
    </row>
    <row r="7" spans="1:21" ht="97.2" x14ac:dyDescent="0.3">
      <c r="A7" s="102" t="s">
        <v>7</v>
      </c>
      <c r="B7" s="41" t="s">
        <v>60</v>
      </c>
      <c r="C7" s="44" t="s">
        <v>94</v>
      </c>
      <c r="D7" s="37" t="s">
        <v>98</v>
      </c>
      <c r="E7" s="82"/>
      <c r="F7" s="82"/>
      <c r="G7" s="82"/>
      <c r="H7" s="82"/>
      <c r="I7" s="82"/>
      <c r="J7" s="82"/>
      <c r="K7" s="82"/>
      <c r="L7" s="82"/>
      <c r="M7" s="82"/>
      <c r="N7" s="82"/>
      <c r="O7" s="82"/>
      <c r="P7" s="82"/>
      <c r="Q7" s="82"/>
      <c r="R7" s="82"/>
      <c r="S7" s="82"/>
      <c r="T7" s="82"/>
      <c r="U7" s="82"/>
    </row>
    <row r="8" spans="1:21" ht="64.8" x14ac:dyDescent="0.3">
      <c r="A8" s="102" t="s">
        <v>84</v>
      </c>
      <c r="B8" s="42" t="s">
        <v>61</v>
      </c>
      <c r="C8" s="44" t="s">
        <v>95</v>
      </c>
      <c r="D8" s="37" t="s">
        <v>117</v>
      </c>
      <c r="E8" s="82"/>
      <c r="F8" s="82"/>
      <c r="G8" s="82"/>
      <c r="H8" s="82"/>
      <c r="I8" s="82"/>
      <c r="J8" s="82"/>
      <c r="K8" s="82"/>
      <c r="L8" s="82"/>
      <c r="M8" s="82"/>
      <c r="N8" s="82"/>
      <c r="O8" s="82"/>
      <c r="P8" s="82"/>
      <c r="Q8" s="82"/>
      <c r="R8" s="82"/>
      <c r="S8" s="82"/>
      <c r="T8" s="82"/>
      <c r="U8" s="82"/>
    </row>
    <row r="9" spans="1:21" ht="20.399999999999999" x14ac:dyDescent="0.3">
      <c r="A9" s="102"/>
      <c r="B9" s="102"/>
      <c r="C9" s="104"/>
      <c r="D9" s="104"/>
      <c r="E9" s="82"/>
      <c r="F9" s="82"/>
      <c r="G9" s="82"/>
      <c r="H9" s="82"/>
      <c r="I9" s="82"/>
      <c r="J9" s="82"/>
      <c r="K9" s="82"/>
      <c r="L9" s="82"/>
      <c r="M9" s="82"/>
      <c r="N9" s="82"/>
      <c r="O9" s="82"/>
      <c r="P9" s="82"/>
      <c r="Q9" s="82"/>
      <c r="R9" s="82"/>
      <c r="S9" s="82"/>
      <c r="T9" s="82"/>
      <c r="U9" s="82"/>
    </row>
    <row r="10" spans="1:21" x14ac:dyDescent="0.3">
      <c r="A10" s="102"/>
      <c r="B10" s="105"/>
      <c r="C10" s="105"/>
      <c r="D10" s="105"/>
      <c r="E10" s="82"/>
      <c r="F10" s="82"/>
      <c r="G10" s="82"/>
      <c r="H10" s="82"/>
      <c r="I10" s="82"/>
      <c r="J10" s="82"/>
      <c r="K10" s="82"/>
      <c r="L10" s="82"/>
      <c r="M10" s="82"/>
      <c r="N10" s="82"/>
      <c r="O10" s="82"/>
      <c r="P10" s="82"/>
      <c r="Q10" s="82"/>
      <c r="R10" s="82"/>
      <c r="S10" s="82"/>
      <c r="T10" s="82"/>
      <c r="U10" s="82"/>
    </row>
    <row r="11" spans="1:21" x14ac:dyDescent="0.3">
      <c r="A11" s="102"/>
      <c r="B11" s="102" t="s">
        <v>90</v>
      </c>
      <c r="C11" s="102" t="s">
        <v>143</v>
      </c>
      <c r="D11" s="102" t="s">
        <v>150</v>
      </c>
      <c r="E11" s="82"/>
      <c r="F11" s="82"/>
      <c r="G11" s="82"/>
      <c r="H11" s="82"/>
      <c r="I11" s="82"/>
      <c r="J11" s="82"/>
      <c r="K11" s="82"/>
      <c r="L11" s="82"/>
      <c r="M11" s="82"/>
      <c r="N11" s="82"/>
      <c r="O11" s="82"/>
      <c r="P11" s="82"/>
      <c r="Q11" s="82"/>
      <c r="R11" s="82"/>
      <c r="S11" s="82"/>
      <c r="T11" s="82"/>
      <c r="U11" s="82"/>
    </row>
    <row r="12" spans="1:21" x14ac:dyDescent="0.3">
      <c r="A12" s="102"/>
      <c r="B12" s="102" t="s">
        <v>88</v>
      </c>
      <c r="C12" s="102" t="s">
        <v>147</v>
      </c>
      <c r="D12" s="102" t="s">
        <v>151</v>
      </c>
      <c r="E12" s="82"/>
      <c r="F12" s="82"/>
      <c r="G12" s="82"/>
      <c r="H12" s="82"/>
      <c r="I12" s="82"/>
      <c r="J12" s="82"/>
      <c r="K12" s="82"/>
      <c r="L12" s="82"/>
      <c r="M12" s="82"/>
      <c r="N12" s="82"/>
      <c r="O12" s="82"/>
      <c r="P12" s="82"/>
      <c r="Q12" s="82"/>
      <c r="R12" s="82"/>
      <c r="S12" s="82"/>
      <c r="T12" s="82"/>
      <c r="U12" s="82"/>
    </row>
    <row r="13" spans="1:21" x14ac:dyDescent="0.3">
      <c r="A13" s="102"/>
      <c r="B13" s="102"/>
      <c r="C13" s="102" t="s">
        <v>146</v>
      </c>
      <c r="D13" s="102" t="s">
        <v>152</v>
      </c>
      <c r="E13" s="82"/>
      <c r="F13" s="82"/>
      <c r="G13" s="82"/>
      <c r="H13" s="82"/>
      <c r="I13" s="82"/>
      <c r="J13" s="82"/>
      <c r="K13" s="82"/>
      <c r="L13" s="82"/>
      <c r="M13" s="82"/>
      <c r="N13" s="82"/>
      <c r="O13" s="82"/>
      <c r="P13" s="82"/>
      <c r="Q13" s="82"/>
      <c r="R13" s="82"/>
      <c r="S13" s="82"/>
      <c r="T13" s="82"/>
      <c r="U13" s="82"/>
    </row>
    <row r="14" spans="1:21" x14ac:dyDescent="0.3">
      <c r="A14" s="102"/>
      <c r="B14" s="102"/>
      <c r="C14" s="102" t="s">
        <v>148</v>
      </c>
      <c r="D14" s="102" t="s">
        <v>153</v>
      </c>
      <c r="E14" s="82"/>
      <c r="F14" s="82"/>
      <c r="G14" s="82"/>
      <c r="H14" s="82"/>
      <c r="I14" s="82"/>
      <c r="J14" s="82"/>
      <c r="K14" s="82"/>
      <c r="L14" s="82"/>
      <c r="M14" s="82"/>
      <c r="N14" s="82"/>
      <c r="O14" s="82"/>
      <c r="P14" s="82"/>
      <c r="Q14" s="82"/>
      <c r="R14" s="82"/>
      <c r="S14" s="82"/>
      <c r="T14" s="82"/>
      <c r="U14" s="82"/>
    </row>
    <row r="15" spans="1:21" x14ac:dyDescent="0.3">
      <c r="A15" s="102"/>
      <c r="B15" s="102"/>
      <c r="C15" s="102" t="s">
        <v>149</v>
      </c>
      <c r="D15" s="102" t="s">
        <v>154</v>
      </c>
      <c r="E15" s="82"/>
      <c r="F15" s="82"/>
      <c r="G15" s="82"/>
      <c r="H15" s="82"/>
      <c r="I15" s="82"/>
      <c r="J15" s="82"/>
      <c r="K15" s="82"/>
      <c r="L15" s="82"/>
      <c r="M15" s="82"/>
      <c r="N15" s="82"/>
      <c r="O15" s="82"/>
      <c r="P15" s="82"/>
      <c r="Q15" s="82"/>
      <c r="R15" s="82"/>
      <c r="S15" s="82"/>
      <c r="T15" s="82"/>
      <c r="U15" s="82"/>
    </row>
    <row r="16" spans="1:21" x14ac:dyDescent="0.3">
      <c r="A16" s="102"/>
      <c r="B16" s="102"/>
      <c r="C16" s="102"/>
      <c r="D16" s="102"/>
      <c r="E16" s="82"/>
      <c r="F16" s="82"/>
      <c r="G16" s="82"/>
      <c r="H16" s="82"/>
      <c r="I16" s="82"/>
      <c r="J16" s="82"/>
      <c r="K16" s="82"/>
      <c r="L16" s="82"/>
      <c r="M16" s="82"/>
      <c r="N16" s="82"/>
      <c r="O16" s="82"/>
    </row>
    <row r="17" spans="1:15" x14ac:dyDescent="0.3">
      <c r="A17" s="102"/>
      <c r="B17" s="102"/>
      <c r="C17" s="102"/>
      <c r="D17" s="102"/>
      <c r="E17" s="82"/>
      <c r="F17" s="82"/>
      <c r="G17" s="82"/>
      <c r="H17" s="82"/>
      <c r="I17" s="82"/>
      <c r="J17" s="82"/>
      <c r="K17" s="82"/>
      <c r="L17" s="82"/>
      <c r="M17" s="82"/>
      <c r="N17" s="82"/>
      <c r="O17" s="82"/>
    </row>
    <row r="18" spans="1:15" x14ac:dyDescent="0.3">
      <c r="A18" s="102"/>
      <c r="B18" s="106"/>
      <c r="C18" s="106"/>
      <c r="D18" s="106"/>
      <c r="E18" s="82"/>
      <c r="F18" s="82"/>
      <c r="G18" s="82"/>
      <c r="H18" s="82"/>
      <c r="I18" s="82"/>
      <c r="J18" s="82"/>
      <c r="K18" s="82"/>
      <c r="L18" s="82"/>
      <c r="M18" s="82"/>
      <c r="N18" s="82"/>
      <c r="O18" s="82"/>
    </row>
    <row r="19" spans="1:15" x14ac:dyDescent="0.3">
      <c r="A19" s="102"/>
      <c r="B19" s="106"/>
      <c r="C19" s="106"/>
      <c r="D19" s="106"/>
      <c r="E19" s="82"/>
      <c r="F19" s="82"/>
      <c r="G19" s="82"/>
      <c r="H19" s="82"/>
      <c r="I19" s="82"/>
      <c r="J19" s="82"/>
      <c r="K19" s="82"/>
      <c r="L19" s="82"/>
      <c r="M19" s="82"/>
      <c r="N19" s="82"/>
      <c r="O19" s="82"/>
    </row>
    <row r="20" spans="1:15" x14ac:dyDescent="0.3">
      <c r="A20" s="102"/>
      <c r="B20" s="106"/>
      <c r="C20" s="106"/>
      <c r="D20" s="106"/>
      <c r="E20" s="82"/>
      <c r="F20" s="82"/>
      <c r="G20" s="82"/>
      <c r="H20" s="82"/>
      <c r="I20" s="82"/>
      <c r="J20" s="82"/>
      <c r="K20" s="82"/>
      <c r="L20" s="82"/>
      <c r="M20" s="82"/>
      <c r="N20" s="82"/>
      <c r="O20" s="82"/>
    </row>
    <row r="21" spans="1:15" x14ac:dyDescent="0.3">
      <c r="A21" s="102"/>
      <c r="B21" s="106"/>
      <c r="C21" s="106"/>
      <c r="D21" s="106"/>
      <c r="E21" s="82"/>
      <c r="F21" s="82"/>
      <c r="G21" s="82"/>
      <c r="H21" s="82"/>
      <c r="I21" s="82"/>
      <c r="J21" s="82"/>
      <c r="K21" s="82"/>
      <c r="L21" s="82"/>
      <c r="M21" s="82"/>
      <c r="N21" s="82"/>
      <c r="O21" s="82"/>
    </row>
    <row r="22" spans="1:15" ht="20.399999999999999" x14ac:dyDescent="0.3">
      <c r="A22" s="102"/>
      <c r="B22" s="102"/>
      <c r="C22" s="104"/>
      <c r="D22" s="104"/>
      <c r="E22" s="82"/>
      <c r="F22" s="82"/>
      <c r="G22" s="82"/>
      <c r="H22" s="82"/>
      <c r="I22" s="82"/>
      <c r="J22" s="82"/>
      <c r="K22" s="82"/>
      <c r="L22" s="82"/>
      <c r="M22" s="82"/>
      <c r="N22" s="82"/>
      <c r="O22" s="82"/>
    </row>
    <row r="23" spans="1:15" ht="20.399999999999999" x14ac:dyDescent="0.3">
      <c r="A23" s="102"/>
      <c r="B23" s="102"/>
      <c r="C23" s="104"/>
      <c r="D23" s="104"/>
      <c r="E23" s="82"/>
      <c r="F23" s="82"/>
      <c r="G23" s="82"/>
      <c r="H23" s="82"/>
      <c r="I23" s="82"/>
      <c r="J23" s="82"/>
      <c r="K23" s="82"/>
      <c r="L23" s="82"/>
      <c r="M23" s="82"/>
      <c r="N23" s="82"/>
      <c r="O23" s="82"/>
    </row>
    <row r="24" spans="1:15" ht="20.399999999999999" x14ac:dyDescent="0.3">
      <c r="A24" s="102"/>
      <c r="B24" s="102"/>
      <c r="C24" s="104"/>
      <c r="D24" s="104"/>
      <c r="E24" s="82"/>
      <c r="F24" s="82"/>
      <c r="G24" s="82"/>
      <c r="H24" s="82"/>
      <c r="I24" s="82"/>
      <c r="J24" s="82"/>
      <c r="K24" s="82"/>
      <c r="L24" s="82"/>
      <c r="M24" s="82"/>
      <c r="N24" s="82"/>
      <c r="O24" s="82"/>
    </row>
    <row r="25" spans="1:15" ht="20.399999999999999" x14ac:dyDescent="0.3">
      <c r="A25" s="102"/>
      <c r="B25" s="102"/>
      <c r="C25" s="104"/>
      <c r="D25" s="104"/>
      <c r="E25" s="82"/>
      <c r="F25" s="82"/>
      <c r="G25" s="82"/>
      <c r="H25" s="82"/>
      <c r="I25" s="82"/>
      <c r="J25" s="82"/>
      <c r="K25" s="82"/>
      <c r="L25" s="82"/>
      <c r="M25" s="82"/>
      <c r="N25" s="82"/>
      <c r="O25" s="82"/>
    </row>
    <row r="26" spans="1:15" ht="20.399999999999999" x14ac:dyDescent="0.3">
      <c r="A26" s="102"/>
      <c r="B26" s="102"/>
      <c r="C26" s="104"/>
      <c r="D26" s="104"/>
      <c r="E26" s="82"/>
      <c r="F26" s="82"/>
      <c r="G26" s="82"/>
      <c r="H26" s="82"/>
      <c r="I26" s="82"/>
      <c r="J26" s="82"/>
      <c r="K26" s="82"/>
      <c r="L26" s="82"/>
      <c r="M26" s="82"/>
      <c r="N26" s="82"/>
      <c r="O26" s="82"/>
    </row>
    <row r="27" spans="1:15" ht="20.399999999999999" x14ac:dyDescent="0.3">
      <c r="A27" s="102"/>
      <c r="B27" s="102"/>
      <c r="C27" s="104"/>
      <c r="D27" s="104"/>
      <c r="E27" s="82"/>
      <c r="F27" s="82"/>
      <c r="G27" s="82"/>
      <c r="H27" s="82"/>
      <c r="I27" s="82"/>
      <c r="J27" s="82"/>
      <c r="K27" s="82"/>
      <c r="L27" s="82"/>
      <c r="M27" s="82"/>
      <c r="N27" s="82"/>
      <c r="O27" s="82"/>
    </row>
    <row r="28" spans="1:15" ht="20.399999999999999" x14ac:dyDescent="0.3">
      <c r="A28" s="102"/>
      <c r="B28" s="102"/>
      <c r="C28" s="104"/>
      <c r="D28" s="104"/>
      <c r="E28" s="82"/>
      <c r="F28" s="82"/>
      <c r="G28" s="82"/>
      <c r="H28" s="82"/>
      <c r="I28" s="82"/>
      <c r="J28" s="82"/>
      <c r="K28" s="82"/>
      <c r="L28" s="82"/>
      <c r="M28" s="82"/>
      <c r="N28" s="82"/>
      <c r="O28" s="82"/>
    </row>
    <row r="29" spans="1:15" ht="20.399999999999999" x14ac:dyDescent="0.3">
      <c r="A29" s="102"/>
      <c r="B29" s="102"/>
      <c r="C29" s="104"/>
      <c r="D29" s="104"/>
      <c r="E29" s="82"/>
      <c r="F29" s="82"/>
      <c r="G29" s="82"/>
      <c r="H29" s="82"/>
      <c r="I29" s="82"/>
      <c r="J29" s="82"/>
      <c r="K29" s="82"/>
      <c r="L29" s="82"/>
      <c r="M29" s="82"/>
      <c r="N29" s="82"/>
      <c r="O29" s="82"/>
    </row>
    <row r="30" spans="1:15" ht="20.399999999999999" x14ac:dyDescent="0.3">
      <c r="A30" s="102"/>
      <c r="B30" s="102"/>
      <c r="C30" s="104"/>
      <c r="D30" s="104"/>
      <c r="E30" s="82"/>
      <c r="F30" s="82"/>
      <c r="G30" s="82"/>
      <c r="H30" s="82"/>
      <c r="I30" s="82"/>
      <c r="J30" s="82"/>
      <c r="K30" s="82"/>
      <c r="L30" s="82"/>
      <c r="M30" s="82"/>
      <c r="N30" s="82"/>
      <c r="O30" s="82"/>
    </row>
    <row r="31" spans="1:15" ht="20.399999999999999" x14ac:dyDescent="0.3">
      <c r="A31" s="102"/>
      <c r="B31" s="102"/>
      <c r="C31" s="104"/>
      <c r="D31" s="104"/>
      <c r="E31" s="82"/>
      <c r="F31" s="82"/>
      <c r="G31" s="82"/>
      <c r="H31" s="82"/>
      <c r="I31" s="82"/>
      <c r="J31" s="82"/>
      <c r="K31" s="82"/>
      <c r="L31" s="82"/>
      <c r="M31" s="82"/>
      <c r="N31" s="82"/>
      <c r="O31" s="82"/>
    </row>
    <row r="32" spans="1:15" ht="20.399999999999999" x14ac:dyDescent="0.3">
      <c r="A32" s="102"/>
      <c r="B32" s="102"/>
      <c r="C32" s="104"/>
      <c r="D32" s="104"/>
      <c r="E32" s="82"/>
      <c r="F32" s="82"/>
      <c r="G32" s="82"/>
      <c r="H32" s="82"/>
      <c r="I32" s="82"/>
      <c r="J32" s="82"/>
      <c r="K32" s="82"/>
      <c r="L32" s="82"/>
      <c r="M32" s="82"/>
      <c r="N32" s="82"/>
      <c r="O32" s="82"/>
    </row>
    <row r="33" spans="1:15" ht="20.399999999999999" x14ac:dyDescent="0.3">
      <c r="A33" s="102"/>
      <c r="B33" s="102"/>
      <c r="C33" s="104"/>
      <c r="D33" s="104"/>
      <c r="E33" s="82"/>
      <c r="F33" s="82"/>
      <c r="G33" s="82"/>
      <c r="H33" s="82"/>
      <c r="I33" s="82"/>
      <c r="J33" s="82"/>
      <c r="K33" s="82"/>
      <c r="L33" s="82"/>
      <c r="M33" s="82"/>
      <c r="N33" s="82"/>
      <c r="O33" s="82"/>
    </row>
    <row r="34" spans="1:15" ht="20.399999999999999" x14ac:dyDescent="0.3">
      <c r="A34" s="102"/>
      <c r="B34" s="102"/>
      <c r="C34" s="104"/>
      <c r="D34" s="104"/>
      <c r="E34" s="82"/>
      <c r="F34" s="82"/>
      <c r="G34" s="82"/>
      <c r="H34" s="82"/>
      <c r="I34" s="82"/>
      <c r="J34" s="82"/>
      <c r="K34" s="82"/>
      <c r="L34" s="82"/>
      <c r="M34" s="82"/>
      <c r="N34" s="82"/>
      <c r="O34" s="82"/>
    </row>
    <row r="35" spans="1:15" ht="20.399999999999999" x14ac:dyDescent="0.3">
      <c r="A35" s="102"/>
      <c r="B35" s="102"/>
      <c r="C35" s="104"/>
      <c r="D35" s="104"/>
      <c r="E35" s="82"/>
      <c r="F35" s="82"/>
      <c r="G35" s="82"/>
      <c r="H35" s="82"/>
      <c r="I35" s="82"/>
      <c r="J35" s="82"/>
      <c r="K35" s="82"/>
      <c r="L35" s="82"/>
      <c r="M35" s="82"/>
      <c r="N35" s="82"/>
      <c r="O35" s="82"/>
    </row>
    <row r="36" spans="1:15" ht="20.399999999999999" x14ac:dyDescent="0.3">
      <c r="A36" s="102"/>
      <c r="B36" s="102"/>
      <c r="C36" s="104"/>
      <c r="D36" s="104"/>
      <c r="E36" s="82"/>
      <c r="F36" s="82"/>
      <c r="G36" s="82"/>
      <c r="H36" s="82"/>
      <c r="I36" s="82"/>
      <c r="J36" s="82"/>
      <c r="K36" s="82"/>
      <c r="L36" s="82"/>
      <c r="M36" s="82"/>
      <c r="N36" s="82"/>
      <c r="O36" s="82"/>
    </row>
    <row r="37" spans="1:15" ht="20.399999999999999" x14ac:dyDescent="0.3">
      <c r="A37" s="102"/>
      <c r="B37" s="102"/>
      <c r="C37" s="104"/>
      <c r="D37" s="104"/>
      <c r="E37" s="82"/>
      <c r="F37" s="82"/>
      <c r="G37" s="82"/>
      <c r="H37" s="82"/>
      <c r="I37" s="82"/>
      <c r="J37" s="82"/>
      <c r="K37" s="82"/>
      <c r="L37" s="82"/>
      <c r="M37" s="82"/>
      <c r="N37" s="82"/>
      <c r="O37" s="82"/>
    </row>
    <row r="38" spans="1:15" ht="20.399999999999999" x14ac:dyDescent="0.3">
      <c r="A38" s="102"/>
      <c r="B38" s="102"/>
      <c r="C38" s="104"/>
      <c r="D38" s="104"/>
      <c r="E38" s="82"/>
      <c r="F38" s="82"/>
      <c r="G38" s="82"/>
      <c r="H38" s="82"/>
      <c r="I38" s="82"/>
      <c r="J38" s="82"/>
      <c r="K38" s="82"/>
      <c r="L38" s="82"/>
      <c r="M38" s="82"/>
      <c r="N38" s="82"/>
      <c r="O38" s="82"/>
    </row>
    <row r="39" spans="1:15" ht="20.399999999999999" x14ac:dyDescent="0.3">
      <c r="A39" s="102"/>
      <c r="B39" s="102"/>
      <c r="C39" s="104"/>
      <c r="D39" s="104"/>
      <c r="E39" s="82"/>
      <c r="F39" s="82"/>
      <c r="G39" s="82"/>
      <c r="H39" s="82"/>
      <c r="I39" s="82"/>
      <c r="J39" s="82"/>
      <c r="K39" s="82"/>
      <c r="L39" s="82"/>
      <c r="M39" s="82"/>
      <c r="N39" s="82"/>
      <c r="O39" s="82"/>
    </row>
    <row r="40" spans="1:15" ht="20.399999999999999" x14ac:dyDescent="0.3">
      <c r="A40" s="102"/>
      <c r="B40" s="102"/>
      <c r="C40" s="104"/>
      <c r="D40" s="104"/>
      <c r="E40" s="82"/>
      <c r="F40" s="82"/>
      <c r="G40" s="82"/>
      <c r="H40" s="82"/>
      <c r="I40" s="82"/>
      <c r="J40" s="82"/>
      <c r="K40" s="82"/>
      <c r="L40" s="82"/>
      <c r="M40" s="82"/>
      <c r="N40" s="82"/>
      <c r="O40" s="82"/>
    </row>
    <row r="41" spans="1:15" ht="20.399999999999999" x14ac:dyDescent="0.3">
      <c r="A41" s="102"/>
      <c r="B41" s="102"/>
      <c r="C41" s="104"/>
      <c r="D41" s="104"/>
      <c r="E41" s="82"/>
      <c r="F41" s="82"/>
      <c r="G41" s="82"/>
      <c r="H41" s="82"/>
      <c r="I41" s="82"/>
      <c r="J41" s="82"/>
      <c r="K41" s="82"/>
      <c r="L41" s="82"/>
      <c r="M41" s="82"/>
      <c r="N41" s="82"/>
      <c r="O41" s="82"/>
    </row>
    <row r="42" spans="1:15" ht="20.399999999999999" x14ac:dyDescent="0.3">
      <c r="A42" s="102"/>
      <c r="B42" s="102"/>
      <c r="C42" s="104"/>
      <c r="D42" s="104"/>
      <c r="E42" s="82"/>
      <c r="F42" s="82"/>
      <c r="G42" s="82"/>
      <c r="H42" s="82"/>
      <c r="I42" s="82"/>
      <c r="J42" s="82"/>
      <c r="K42" s="82"/>
      <c r="L42" s="82"/>
      <c r="M42" s="82"/>
      <c r="N42" s="82"/>
      <c r="O42" s="82"/>
    </row>
    <row r="43" spans="1:15" ht="20.399999999999999" x14ac:dyDescent="0.3">
      <c r="A43" s="102"/>
      <c r="B43" s="102"/>
      <c r="C43" s="104"/>
      <c r="D43" s="104"/>
      <c r="E43" s="82"/>
      <c r="F43" s="82"/>
      <c r="G43" s="82"/>
      <c r="H43" s="82"/>
      <c r="I43" s="82"/>
      <c r="J43" s="82"/>
      <c r="K43" s="82"/>
      <c r="L43" s="82"/>
      <c r="M43" s="82"/>
      <c r="N43" s="82"/>
      <c r="O43" s="82"/>
    </row>
    <row r="44" spans="1:15" ht="20.399999999999999" x14ac:dyDescent="0.3">
      <c r="A44" s="102"/>
      <c r="B44" s="102"/>
      <c r="C44" s="104"/>
      <c r="D44" s="104"/>
      <c r="E44" s="82"/>
      <c r="F44" s="82"/>
      <c r="G44" s="82"/>
      <c r="H44" s="82"/>
      <c r="I44" s="82"/>
      <c r="J44" s="82"/>
      <c r="K44" s="82"/>
      <c r="L44" s="82"/>
      <c r="M44" s="82"/>
      <c r="N44" s="82"/>
      <c r="O44" s="82"/>
    </row>
    <row r="45" spans="1:15" ht="20.399999999999999" x14ac:dyDescent="0.3">
      <c r="A45" s="102"/>
      <c r="B45" s="102"/>
      <c r="C45" s="104"/>
      <c r="D45" s="104"/>
      <c r="E45" s="82"/>
      <c r="F45" s="82"/>
      <c r="G45" s="82"/>
      <c r="H45" s="82"/>
      <c r="I45" s="82"/>
      <c r="J45" s="82"/>
      <c r="K45" s="82"/>
      <c r="L45" s="82"/>
      <c r="M45" s="82"/>
      <c r="N45" s="82"/>
      <c r="O45" s="82"/>
    </row>
    <row r="46" spans="1:15" ht="20.399999999999999" x14ac:dyDescent="0.3">
      <c r="A46" s="102"/>
      <c r="B46" s="102"/>
      <c r="C46" s="104"/>
      <c r="D46" s="104"/>
      <c r="E46" s="82"/>
      <c r="F46" s="82"/>
      <c r="G46" s="82"/>
      <c r="H46" s="82"/>
      <c r="I46" s="82"/>
      <c r="J46" s="82"/>
      <c r="K46" s="82"/>
      <c r="L46" s="82"/>
      <c r="M46" s="82"/>
      <c r="N46" s="82"/>
      <c r="O46" s="82"/>
    </row>
    <row r="47" spans="1:15" ht="20.399999999999999" x14ac:dyDescent="0.3">
      <c r="A47" s="102"/>
      <c r="B47" s="102"/>
      <c r="C47" s="104"/>
      <c r="D47" s="104"/>
      <c r="E47" s="82"/>
      <c r="F47" s="82"/>
      <c r="G47" s="82"/>
      <c r="H47" s="82"/>
      <c r="I47" s="82"/>
      <c r="J47" s="82"/>
      <c r="K47" s="82"/>
      <c r="L47" s="82"/>
      <c r="M47" s="82"/>
      <c r="N47" s="82"/>
      <c r="O47" s="82"/>
    </row>
    <row r="48" spans="1:15" ht="20.399999999999999" x14ac:dyDescent="0.3">
      <c r="A48" s="102"/>
      <c r="B48" s="102"/>
      <c r="C48" s="104"/>
      <c r="D48" s="104"/>
      <c r="E48" s="82"/>
      <c r="F48" s="82"/>
      <c r="G48" s="82"/>
      <c r="H48" s="82"/>
      <c r="I48" s="82"/>
      <c r="J48" s="82"/>
      <c r="K48" s="82"/>
      <c r="L48" s="82"/>
      <c r="M48" s="82"/>
      <c r="N48" s="82"/>
      <c r="O48" s="82"/>
    </row>
    <row r="49" spans="1:15" ht="20.399999999999999" x14ac:dyDescent="0.3">
      <c r="A49" s="102"/>
      <c r="B49" s="102"/>
      <c r="C49" s="104"/>
      <c r="D49" s="104"/>
      <c r="E49" s="82"/>
      <c r="F49" s="82"/>
      <c r="G49" s="82"/>
      <c r="H49" s="82"/>
      <c r="I49" s="82"/>
      <c r="J49" s="82"/>
      <c r="K49" s="82"/>
      <c r="L49" s="82"/>
      <c r="M49" s="82"/>
      <c r="N49" s="82"/>
      <c r="O49" s="82"/>
    </row>
    <row r="50" spans="1:15" ht="20.399999999999999" x14ac:dyDescent="0.3">
      <c r="A50" s="102"/>
      <c r="B50" s="102"/>
      <c r="C50" s="104"/>
      <c r="D50" s="104"/>
      <c r="E50" s="82"/>
      <c r="F50" s="82"/>
      <c r="G50" s="82"/>
      <c r="H50" s="82"/>
      <c r="I50" s="82"/>
      <c r="J50" s="82"/>
      <c r="K50" s="82"/>
      <c r="L50" s="82"/>
      <c r="M50" s="82"/>
      <c r="N50" s="82"/>
      <c r="O50" s="82"/>
    </row>
    <row r="51" spans="1:15" ht="20.399999999999999" x14ac:dyDescent="0.3">
      <c r="A51" s="102"/>
      <c r="B51" s="102"/>
      <c r="C51" s="104"/>
      <c r="D51" s="104"/>
      <c r="E51" s="82"/>
      <c r="F51" s="82"/>
      <c r="G51" s="82"/>
      <c r="H51" s="82"/>
      <c r="I51" s="82"/>
      <c r="J51" s="82"/>
      <c r="K51" s="82"/>
      <c r="L51" s="82"/>
      <c r="M51" s="82"/>
      <c r="N51" s="82"/>
      <c r="O51" s="82"/>
    </row>
    <row r="52" spans="1:15" ht="20.399999999999999" x14ac:dyDescent="0.3">
      <c r="A52" s="102"/>
      <c r="B52" s="22"/>
      <c r="C52" s="33"/>
      <c r="D52" s="33"/>
    </row>
    <row r="53" spans="1:15" ht="20.399999999999999" x14ac:dyDescent="0.3">
      <c r="A53" s="102"/>
      <c r="B53" s="22"/>
      <c r="C53" s="33"/>
      <c r="D53" s="33"/>
    </row>
    <row r="54" spans="1:15" ht="20.399999999999999" x14ac:dyDescent="0.3">
      <c r="A54" s="102"/>
      <c r="B54" s="22"/>
      <c r="C54" s="33"/>
      <c r="D54" s="33"/>
    </row>
    <row r="55" spans="1:15" ht="20.399999999999999" x14ac:dyDescent="0.3">
      <c r="A55" s="102"/>
      <c r="B55" s="22"/>
      <c r="C55" s="33"/>
      <c r="D55" s="33"/>
    </row>
    <row r="56" spans="1:15" ht="20.399999999999999" x14ac:dyDescent="0.3">
      <c r="A56" s="102"/>
      <c r="B56" s="22"/>
      <c r="C56" s="33"/>
      <c r="D56" s="33"/>
    </row>
    <row r="57" spans="1:15" ht="20.399999999999999" x14ac:dyDescent="0.3">
      <c r="A57" s="102"/>
      <c r="B57" s="22"/>
      <c r="C57" s="33"/>
      <c r="D57" s="33"/>
    </row>
    <row r="58" spans="1:15" ht="20.399999999999999" x14ac:dyDescent="0.3">
      <c r="A58" s="102"/>
      <c r="B58" s="22"/>
      <c r="C58" s="33"/>
      <c r="D58" s="33"/>
    </row>
    <row r="59" spans="1:15" ht="20.399999999999999" x14ac:dyDescent="0.3">
      <c r="A59" s="102"/>
      <c r="B59" s="22"/>
      <c r="C59" s="33"/>
      <c r="D59" s="33"/>
    </row>
    <row r="60" spans="1:15" ht="20.399999999999999" x14ac:dyDescent="0.3">
      <c r="A60" s="102"/>
      <c r="B60" s="22"/>
      <c r="C60" s="33"/>
      <c r="D60" s="33"/>
    </row>
    <row r="61" spans="1:15" ht="20.399999999999999" x14ac:dyDescent="0.3">
      <c r="A61" s="102"/>
      <c r="B61" s="22"/>
      <c r="C61" s="33"/>
      <c r="D61" s="33"/>
    </row>
    <row r="62" spans="1:15" ht="20.399999999999999" x14ac:dyDescent="0.3">
      <c r="A62" s="102"/>
      <c r="B62" s="22"/>
      <c r="C62" s="33"/>
      <c r="D62" s="33"/>
    </row>
    <row r="63" spans="1:15" ht="20.399999999999999" x14ac:dyDescent="0.3">
      <c r="A63" s="102"/>
      <c r="B63" s="22"/>
      <c r="C63" s="33"/>
      <c r="D63" s="33"/>
    </row>
    <row r="64" spans="1:15" ht="20.399999999999999" x14ac:dyDescent="0.3">
      <c r="A64" s="102"/>
      <c r="B64" s="22"/>
      <c r="C64" s="33"/>
      <c r="D64" s="33"/>
    </row>
    <row r="65" spans="1:4" ht="20.399999999999999" x14ac:dyDescent="0.3">
      <c r="A65" s="102"/>
      <c r="B65" s="22"/>
      <c r="C65" s="33"/>
      <c r="D65" s="33"/>
    </row>
    <row r="66" spans="1:4" ht="20.399999999999999" x14ac:dyDescent="0.3">
      <c r="A66" s="102"/>
      <c r="B66" s="22"/>
      <c r="C66" s="33"/>
      <c r="D66" s="33"/>
    </row>
    <row r="67" spans="1:4" ht="20.399999999999999" x14ac:dyDescent="0.3">
      <c r="A67" s="102"/>
      <c r="B67" s="22"/>
      <c r="C67" s="33"/>
      <c r="D67" s="33"/>
    </row>
    <row r="68" spans="1:4" ht="20.399999999999999" x14ac:dyDescent="0.3">
      <c r="A68" s="102"/>
      <c r="B68" s="22"/>
      <c r="C68" s="33"/>
      <c r="D68" s="33"/>
    </row>
    <row r="69" spans="1:4" ht="20.399999999999999" x14ac:dyDescent="0.3">
      <c r="A69" s="102"/>
      <c r="B69" s="22"/>
      <c r="C69" s="33"/>
      <c r="D69" s="33"/>
    </row>
    <row r="70" spans="1:4" ht="20.399999999999999" x14ac:dyDescent="0.3">
      <c r="A70" s="102"/>
      <c r="B70" s="22"/>
      <c r="C70" s="33"/>
      <c r="D70" s="33"/>
    </row>
    <row r="71" spans="1:4" ht="20.399999999999999" x14ac:dyDescent="0.3">
      <c r="A71" s="102"/>
      <c r="B71" s="22"/>
      <c r="C71" s="33"/>
      <c r="D71" s="33"/>
    </row>
    <row r="72" spans="1:4" ht="20.399999999999999" x14ac:dyDescent="0.3">
      <c r="A72" s="102"/>
      <c r="B72" s="22"/>
      <c r="C72" s="33"/>
      <c r="D72" s="33"/>
    </row>
    <row r="73" spans="1:4" ht="20.399999999999999" x14ac:dyDescent="0.3">
      <c r="A73" s="102"/>
      <c r="B73" s="22"/>
      <c r="C73" s="33"/>
      <c r="D73" s="33"/>
    </row>
    <row r="74" spans="1:4" ht="20.399999999999999" x14ac:dyDescent="0.3">
      <c r="A74" s="102"/>
      <c r="B74" s="22"/>
      <c r="C74" s="33"/>
      <c r="D74" s="33"/>
    </row>
    <row r="75" spans="1:4" ht="20.399999999999999" x14ac:dyDescent="0.3">
      <c r="A75" s="102"/>
      <c r="B75" s="22"/>
      <c r="C75" s="33"/>
      <c r="D75" s="33"/>
    </row>
    <row r="76" spans="1:4" ht="20.399999999999999" x14ac:dyDescent="0.3">
      <c r="A76" s="102"/>
      <c r="B76" s="22"/>
      <c r="C76" s="33"/>
      <c r="D76" s="33"/>
    </row>
    <row r="77" spans="1:4" ht="20.399999999999999" x14ac:dyDescent="0.3">
      <c r="A77" s="102"/>
      <c r="B77" s="22"/>
      <c r="C77" s="33"/>
      <c r="D77" s="33"/>
    </row>
    <row r="78" spans="1:4" ht="20.399999999999999" x14ac:dyDescent="0.3">
      <c r="A78" s="102"/>
      <c r="B78" s="22"/>
      <c r="C78" s="33"/>
      <c r="D78" s="33"/>
    </row>
    <row r="79" spans="1:4" ht="20.399999999999999" x14ac:dyDescent="0.3">
      <c r="A79" s="102"/>
      <c r="B79" s="22"/>
      <c r="C79" s="33"/>
      <c r="D79" s="33"/>
    </row>
    <row r="80" spans="1:4" ht="20.399999999999999" x14ac:dyDescent="0.3">
      <c r="A80" s="102"/>
      <c r="B80" s="22"/>
      <c r="C80" s="33"/>
      <c r="D80" s="33"/>
    </row>
    <row r="81" spans="1:4" ht="20.399999999999999" x14ac:dyDescent="0.3">
      <c r="A81" s="102"/>
      <c r="B81" s="22"/>
      <c r="C81" s="33"/>
      <c r="D81" s="33"/>
    </row>
    <row r="82" spans="1:4" ht="20.399999999999999" x14ac:dyDescent="0.3">
      <c r="A82" s="102"/>
      <c r="B82" s="22"/>
      <c r="C82" s="33"/>
      <c r="D82" s="33"/>
    </row>
    <row r="83" spans="1:4" ht="20.399999999999999" x14ac:dyDescent="0.3">
      <c r="A83" s="102"/>
      <c r="B83" s="22"/>
      <c r="C83" s="33"/>
      <c r="D83" s="33"/>
    </row>
    <row r="84" spans="1:4" ht="20.399999999999999" x14ac:dyDescent="0.3">
      <c r="A84" s="102"/>
      <c r="B84" s="22"/>
      <c r="C84" s="33"/>
      <c r="D84" s="33"/>
    </row>
    <row r="85" spans="1:4" ht="20.399999999999999" x14ac:dyDescent="0.3">
      <c r="A85" s="102"/>
      <c r="B85" s="22"/>
      <c r="C85" s="33"/>
      <c r="D85" s="33"/>
    </row>
    <row r="86" spans="1:4" ht="20.399999999999999" x14ac:dyDescent="0.3">
      <c r="A86" s="102"/>
      <c r="B86" s="22"/>
      <c r="C86" s="33"/>
      <c r="D86" s="33"/>
    </row>
    <row r="87" spans="1:4" ht="20.399999999999999" x14ac:dyDescent="0.3">
      <c r="A87" s="102"/>
      <c r="B87" s="22"/>
      <c r="C87" s="33"/>
      <c r="D87" s="33"/>
    </row>
    <row r="88" spans="1:4" ht="20.399999999999999" x14ac:dyDescent="0.3">
      <c r="A88" s="102"/>
      <c r="B88" s="22"/>
      <c r="C88" s="33"/>
      <c r="D88" s="33"/>
    </row>
    <row r="89" spans="1:4" ht="20.399999999999999" x14ac:dyDescent="0.3">
      <c r="A89" s="102"/>
      <c r="B89" s="22"/>
      <c r="C89" s="33"/>
      <c r="D89" s="33"/>
    </row>
    <row r="90" spans="1:4" ht="20.399999999999999" x14ac:dyDescent="0.3">
      <c r="A90" s="102"/>
      <c r="B90" s="22"/>
      <c r="C90" s="33"/>
      <c r="D90" s="33"/>
    </row>
    <row r="91" spans="1:4" ht="20.399999999999999" x14ac:dyDescent="0.3">
      <c r="A91" s="102"/>
      <c r="B91" s="22"/>
      <c r="C91" s="33"/>
      <c r="D91" s="33"/>
    </row>
    <row r="92" spans="1:4" ht="20.399999999999999" x14ac:dyDescent="0.3">
      <c r="A92" s="102"/>
      <c r="B92" s="22"/>
      <c r="C92" s="33"/>
      <c r="D92" s="33"/>
    </row>
    <row r="93" spans="1:4" ht="20.399999999999999" x14ac:dyDescent="0.3">
      <c r="A93" s="102"/>
      <c r="B93" s="22"/>
      <c r="C93" s="33"/>
      <c r="D93" s="33"/>
    </row>
    <row r="94" spans="1:4" ht="20.399999999999999" x14ac:dyDescent="0.3">
      <c r="A94" s="102"/>
      <c r="B94" s="22"/>
      <c r="C94" s="33"/>
      <c r="D94" s="33"/>
    </row>
    <row r="95" spans="1:4" ht="20.399999999999999" x14ac:dyDescent="0.3">
      <c r="A95" s="102"/>
      <c r="B95" s="22"/>
      <c r="C95" s="33"/>
      <c r="D95" s="33"/>
    </row>
    <row r="96" spans="1:4" ht="20.399999999999999" x14ac:dyDescent="0.3">
      <c r="A96" s="102"/>
      <c r="B96" s="22"/>
      <c r="C96" s="33"/>
      <c r="D96" s="33"/>
    </row>
    <row r="97" spans="1:4" ht="20.399999999999999" x14ac:dyDescent="0.3">
      <c r="A97" s="102"/>
      <c r="B97" s="22"/>
      <c r="C97" s="33"/>
      <c r="D97" s="33"/>
    </row>
    <row r="98" spans="1:4" ht="20.399999999999999" x14ac:dyDescent="0.3">
      <c r="A98" s="102"/>
      <c r="B98" s="22"/>
      <c r="C98" s="33"/>
      <c r="D98" s="33"/>
    </row>
    <row r="99" spans="1:4" ht="20.399999999999999" x14ac:dyDescent="0.3">
      <c r="A99" s="102"/>
      <c r="B99" s="22"/>
      <c r="C99" s="33"/>
      <c r="D99" s="33"/>
    </row>
    <row r="100" spans="1:4" ht="20.399999999999999" x14ac:dyDescent="0.3">
      <c r="A100" s="102"/>
      <c r="B100" s="22"/>
      <c r="C100" s="33"/>
      <c r="D100" s="33"/>
    </row>
    <row r="101" spans="1:4" ht="20.399999999999999" x14ac:dyDescent="0.3">
      <c r="A101" s="102"/>
      <c r="B101" s="22"/>
      <c r="C101" s="33"/>
      <c r="D101" s="33"/>
    </row>
    <row r="102" spans="1:4" ht="20.399999999999999" x14ac:dyDescent="0.3">
      <c r="A102" s="102"/>
      <c r="B102" s="22"/>
      <c r="C102" s="33"/>
      <c r="D102" s="33"/>
    </row>
    <row r="103" spans="1:4" ht="20.399999999999999" x14ac:dyDescent="0.3">
      <c r="A103" s="102"/>
      <c r="B103" s="22"/>
      <c r="C103" s="33"/>
      <c r="D103" s="33"/>
    </row>
    <row r="104" spans="1:4" ht="20.399999999999999" x14ac:dyDescent="0.3">
      <c r="A104" s="102"/>
      <c r="B104" s="22"/>
      <c r="C104" s="33"/>
      <c r="D104" s="33"/>
    </row>
    <row r="105" spans="1:4" ht="20.399999999999999" x14ac:dyDescent="0.3">
      <c r="A105" s="102"/>
      <c r="B105" s="22"/>
      <c r="C105" s="33"/>
      <c r="D105" s="33"/>
    </row>
    <row r="106" spans="1:4" ht="20.399999999999999" x14ac:dyDescent="0.3">
      <c r="A106" s="102"/>
      <c r="B106" s="22"/>
      <c r="C106" s="33"/>
      <c r="D106" s="33"/>
    </row>
    <row r="107" spans="1:4" ht="20.399999999999999" x14ac:dyDescent="0.3">
      <c r="A107" s="102"/>
      <c r="B107" s="22"/>
      <c r="C107" s="33"/>
      <c r="D107" s="33"/>
    </row>
    <row r="108" spans="1:4" ht="20.399999999999999" x14ac:dyDescent="0.3">
      <c r="A108" s="102"/>
      <c r="B108" s="22"/>
      <c r="C108" s="33"/>
      <c r="D108" s="33"/>
    </row>
    <row r="109" spans="1:4" ht="20.399999999999999" x14ac:dyDescent="0.3">
      <c r="A109" s="102"/>
      <c r="B109" s="22"/>
      <c r="C109" s="33"/>
      <c r="D109" s="33"/>
    </row>
    <row r="110" spans="1:4" ht="20.399999999999999" x14ac:dyDescent="0.3">
      <c r="A110" s="102"/>
      <c r="B110" s="22"/>
      <c r="C110" s="33"/>
      <c r="D110" s="33"/>
    </row>
    <row r="111" spans="1:4" ht="20.399999999999999" x14ac:dyDescent="0.3">
      <c r="A111" s="102"/>
      <c r="B111" s="22"/>
      <c r="C111" s="33"/>
      <c r="D111" s="33"/>
    </row>
    <row r="112" spans="1:4" ht="20.399999999999999" x14ac:dyDescent="0.3">
      <c r="A112" s="102"/>
      <c r="B112" s="22"/>
      <c r="C112" s="33"/>
      <c r="D112" s="33"/>
    </row>
    <row r="113" spans="1:4" ht="20.399999999999999" x14ac:dyDescent="0.3">
      <c r="A113" s="102"/>
      <c r="B113" s="22"/>
      <c r="C113" s="33"/>
      <c r="D113" s="33"/>
    </row>
    <row r="114" spans="1:4" ht="20.399999999999999" x14ac:dyDescent="0.3">
      <c r="A114" s="102"/>
      <c r="B114" s="22"/>
      <c r="C114" s="33"/>
      <c r="D114" s="33"/>
    </row>
    <row r="115" spans="1:4" ht="20.399999999999999" x14ac:dyDescent="0.3">
      <c r="A115" s="102"/>
      <c r="B115" s="22"/>
      <c r="C115" s="33"/>
      <c r="D115" s="33"/>
    </row>
    <row r="116" spans="1:4" ht="20.399999999999999" x14ac:dyDescent="0.3">
      <c r="A116" s="102"/>
      <c r="B116" s="22"/>
      <c r="C116" s="33"/>
      <c r="D116" s="33"/>
    </row>
    <row r="117" spans="1:4" ht="20.399999999999999" x14ac:dyDescent="0.3">
      <c r="A117" s="102"/>
      <c r="B117" s="22"/>
      <c r="C117" s="33"/>
      <c r="D117" s="33"/>
    </row>
    <row r="118" spans="1:4" ht="20.399999999999999" x14ac:dyDescent="0.3">
      <c r="A118" s="102"/>
      <c r="B118" s="22"/>
      <c r="C118" s="33"/>
      <c r="D118" s="33"/>
    </row>
    <row r="119" spans="1:4" ht="20.399999999999999" x14ac:dyDescent="0.3">
      <c r="A119" s="102"/>
      <c r="B119" s="22"/>
      <c r="C119" s="33"/>
      <c r="D119" s="33"/>
    </row>
    <row r="120" spans="1:4" ht="20.399999999999999" x14ac:dyDescent="0.3">
      <c r="A120" s="102"/>
      <c r="B120" s="22"/>
      <c r="C120" s="33"/>
      <c r="D120" s="33"/>
    </row>
    <row r="121" spans="1:4" ht="20.399999999999999" x14ac:dyDescent="0.3">
      <c r="A121" s="102"/>
      <c r="B121" s="22"/>
      <c r="C121" s="33"/>
      <c r="D121" s="33"/>
    </row>
    <row r="122" spans="1:4" ht="20.399999999999999" x14ac:dyDescent="0.3">
      <c r="A122" s="102"/>
      <c r="B122" s="22"/>
      <c r="C122" s="33"/>
      <c r="D122" s="33"/>
    </row>
    <row r="123" spans="1:4" ht="20.399999999999999" x14ac:dyDescent="0.3">
      <c r="A123" s="102"/>
      <c r="B123" s="22"/>
      <c r="C123" s="33"/>
      <c r="D123" s="33"/>
    </row>
    <row r="124" spans="1:4" ht="20.399999999999999" x14ac:dyDescent="0.3">
      <c r="A124" s="102"/>
      <c r="B124" s="22"/>
      <c r="C124" s="33"/>
      <c r="D124" s="33"/>
    </row>
    <row r="125" spans="1:4" ht="20.399999999999999" x14ac:dyDescent="0.3">
      <c r="A125" s="102"/>
      <c r="B125" s="22"/>
      <c r="C125" s="33"/>
      <c r="D125" s="33"/>
    </row>
    <row r="126" spans="1:4" ht="20.399999999999999" x14ac:dyDescent="0.3">
      <c r="A126" s="102"/>
      <c r="B126" s="22"/>
      <c r="C126" s="33"/>
      <c r="D126" s="33"/>
    </row>
    <row r="127" spans="1:4" ht="20.399999999999999" x14ac:dyDescent="0.3">
      <c r="A127" s="102"/>
      <c r="B127" s="22"/>
      <c r="C127" s="33"/>
      <c r="D127" s="33"/>
    </row>
    <row r="128" spans="1:4" ht="20.399999999999999" x14ac:dyDescent="0.3">
      <c r="A128" s="102"/>
      <c r="B128" s="22"/>
      <c r="C128" s="33"/>
      <c r="D128" s="33"/>
    </row>
    <row r="129" spans="1:4" ht="20.399999999999999" x14ac:dyDescent="0.3">
      <c r="A129" s="102"/>
      <c r="B129" s="22"/>
      <c r="C129" s="33"/>
      <c r="D129" s="33"/>
    </row>
    <row r="130" spans="1:4" ht="20.399999999999999" x14ac:dyDescent="0.3">
      <c r="A130" s="102"/>
      <c r="B130" s="22"/>
      <c r="C130" s="33"/>
      <c r="D130" s="33"/>
    </row>
    <row r="131" spans="1:4" ht="20.399999999999999" x14ac:dyDescent="0.3">
      <c r="A131" s="102"/>
      <c r="B131" s="22"/>
      <c r="C131" s="33"/>
      <c r="D131" s="33"/>
    </row>
    <row r="132" spans="1:4" ht="20.399999999999999" x14ac:dyDescent="0.3">
      <c r="A132" s="102"/>
      <c r="B132" s="22"/>
      <c r="C132" s="33"/>
      <c r="D132" s="33"/>
    </row>
    <row r="133" spans="1:4" ht="20.399999999999999" x14ac:dyDescent="0.3">
      <c r="A133" s="102"/>
      <c r="B133" s="22"/>
      <c r="C133" s="33"/>
      <c r="D133" s="33"/>
    </row>
    <row r="134" spans="1:4" ht="20.399999999999999" x14ac:dyDescent="0.3">
      <c r="A134" s="102"/>
      <c r="B134" s="22"/>
      <c r="C134" s="33"/>
      <c r="D134" s="33"/>
    </row>
    <row r="135" spans="1:4" ht="20.399999999999999" x14ac:dyDescent="0.3">
      <c r="A135" s="102"/>
      <c r="B135" s="22"/>
      <c r="C135" s="33"/>
      <c r="D135" s="33"/>
    </row>
    <row r="136" spans="1:4" ht="20.399999999999999" x14ac:dyDescent="0.3">
      <c r="A136" s="102"/>
      <c r="B136" s="22"/>
      <c r="C136" s="33"/>
      <c r="D136" s="33"/>
    </row>
    <row r="137" spans="1:4" ht="20.399999999999999" x14ac:dyDescent="0.3">
      <c r="A137" s="102"/>
      <c r="B137" s="22"/>
      <c r="C137" s="33"/>
      <c r="D137" s="33"/>
    </row>
    <row r="138" spans="1:4" ht="20.399999999999999" x14ac:dyDescent="0.3">
      <c r="A138" s="102"/>
      <c r="B138" s="22"/>
      <c r="C138" s="33"/>
      <c r="D138" s="33"/>
    </row>
    <row r="139" spans="1:4" ht="20.399999999999999" x14ac:dyDescent="0.3">
      <c r="A139" s="102"/>
      <c r="B139" s="22"/>
      <c r="C139" s="33"/>
      <c r="D139" s="33"/>
    </row>
    <row r="140" spans="1:4" ht="20.399999999999999" x14ac:dyDescent="0.3">
      <c r="A140" s="102"/>
      <c r="B140" s="22"/>
      <c r="C140" s="33"/>
      <c r="D140" s="33"/>
    </row>
    <row r="141" spans="1:4" ht="20.399999999999999" x14ac:dyDescent="0.3">
      <c r="A141" s="102"/>
      <c r="B141" s="22"/>
      <c r="C141" s="33"/>
      <c r="D141" s="33"/>
    </row>
    <row r="142" spans="1:4" ht="20.399999999999999" x14ac:dyDescent="0.3">
      <c r="A142" s="102"/>
      <c r="B142" s="22"/>
      <c r="C142" s="33"/>
      <c r="D142" s="33"/>
    </row>
    <row r="143" spans="1:4" ht="20.399999999999999" x14ac:dyDescent="0.3">
      <c r="A143" s="102"/>
      <c r="B143" s="22"/>
      <c r="C143" s="33"/>
      <c r="D143" s="33"/>
    </row>
    <row r="144" spans="1:4" ht="20.399999999999999" x14ac:dyDescent="0.3">
      <c r="A144" s="102"/>
      <c r="B144" s="22"/>
      <c r="C144" s="33"/>
      <c r="D144" s="33"/>
    </row>
    <row r="145" spans="1:4" ht="20.399999999999999" x14ac:dyDescent="0.3">
      <c r="A145" s="102"/>
      <c r="B145" s="22"/>
      <c r="C145" s="33"/>
      <c r="D145" s="33"/>
    </row>
    <row r="146" spans="1:4" ht="20.399999999999999" x14ac:dyDescent="0.3">
      <c r="A146" s="102"/>
      <c r="B146" s="22"/>
      <c r="C146" s="33"/>
      <c r="D146" s="33"/>
    </row>
    <row r="147" spans="1:4" ht="20.399999999999999" x14ac:dyDescent="0.3">
      <c r="A147" s="102"/>
      <c r="B147" s="22"/>
      <c r="C147" s="33"/>
      <c r="D147" s="33"/>
    </row>
    <row r="148" spans="1:4" ht="20.399999999999999" x14ac:dyDescent="0.3">
      <c r="A148" s="102"/>
      <c r="B148" s="22"/>
      <c r="C148" s="33"/>
      <c r="D148" s="33"/>
    </row>
    <row r="149" spans="1:4" ht="20.399999999999999" x14ac:dyDescent="0.3">
      <c r="A149" s="102"/>
      <c r="B149" s="22"/>
      <c r="C149" s="33"/>
      <c r="D149" s="33"/>
    </row>
    <row r="150" spans="1:4" ht="20.399999999999999" x14ac:dyDescent="0.3">
      <c r="A150" s="102"/>
      <c r="B150" s="22"/>
      <c r="C150" s="33"/>
      <c r="D150" s="33"/>
    </row>
    <row r="151" spans="1:4" ht="20.399999999999999" x14ac:dyDescent="0.3">
      <c r="A151" s="102"/>
      <c r="B151" s="22"/>
      <c r="C151" s="33"/>
      <c r="D151" s="33"/>
    </row>
    <row r="152" spans="1:4" ht="20.399999999999999" x14ac:dyDescent="0.3">
      <c r="A152" s="102"/>
      <c r="B152" s="22"/>
      <c r="C152" s="33"/>
      <c r="D152" s="33"/>
    </row>
    <row r="153" spans="1:4" ht="20.399999999999999" x14ac:dyDescent="0.3">
      <c r="A153" s="102"/>
      <c r="B153" s="22"/>
      <c r="C153" s="33"/>
      <c r="D153" s="33"/>
    </row>
    <row r="154" spans="1:4" ht="20.399999999999999" x14ac:dyDescent="0.3">
      <c r="A154" s="102"/>
      <c r="B154" s="22"/>
      <c r="C154" s="33"/>
      <c r="D154" s="33"/>
    </row>
    <row r="155" spans="1:4" ht="20.399999999999999" x14ac:dyDescent="0.3">
      <c r="A155" s="102"/>
      <c r="B155" s="22"/>
      <c r="C155" s="33"/>
      <c r="D155" s="33"/>
    </row>
    <row r="156" spans="1:4" ht="20.399999999999999" x14ac:dyDescent="0.3">
      <c r="A156" s="102"/>
      <c r="B156" s="22"/>
      <c r="C156" s="33"/>
      <c r="D156" s="33"/>
    </row>
    <row r="157" spans="1:4" ht="20.399999999999999" x14ac:dyDescent="0.3">
      <c r="A157" s="102"/>
      <c r="B157" s="22"/>
      <c r="C157" s="33"/>
      <c r="D157" s="33"/>
    </row>
    <row r="158" spans="1:4" ht="20.399999999999999" x14ac:dyDescent="0.3">
      <c r="A158" s="102"/>
      <c r="B158" s="22"/>
      <c r="C158" s="33"/>
      <c r="D158" s="33"/>
    </row>
    <row r="159" spans="1:4" ht="20.399999999999999" x14ac:dyDescent="0.3">
      <c r="A159" s="102"/>
      <c r="B159" s="22"/>
      <c r="C159" s="33"/>
      <c r="D159" s="33"/>
    </row>
    <row r="160" spans="1:4" ht="20.399999999999999" x14ac:dyDescent="0.3">
      <c r="A160" s="102"/>
      <c r="B160" s="22"/>
      <c r="C160" s="33"/>
      <c r="D160" s="33"/>
    </row>
    <row r="161" spans="1:4" ht="20.399999999999999" x14ac:dyDescent="0.3">
      <c r="A161" s="102"/>
      <c r="B161" s="22"/>
      <c r="C161" s="33"/>
      <c r="D161" s="33"/>
    </row>
    <row r="162" spans="1:4" ht="20.399999999999999" x14ac:dyDescent="0.3">
      <c r="A162" s="102"/>
      <c r="B162" s="22"/>
      <c r="C162" s="33"/>
      <c r="D162" s="33"/>
    </row>
    <row r="163" spans="1:4" ht="20.399999999999999" x14ac:dyDescent="0.3">
      <c r="A163" s="102"/>
      <c r="B163" s="22"/>
      <c r="C163" s="33"/>
      <c r="D163" s="33"/>
    </row>
    <row r="164" spans="1:4" ht="20.399999999999999" x14ac:dyDescent="0.3">
      <c r="A164" s="102"/>
      <c r="B164" s="22"/>
      <c r="C164" s="33"/>
      <c r="D164" s="33"/>
    </row>
    <row r="165" spans="1:4" ht="20.399999999999999" x14ac:dyDescent="0.3">
      <c r="A165" s="102"/>
      <c r="B165" s="22"/>
      <c r="C165" s="33"/>
      <c r="D165" s="33"/>
    </row>
    <row r="166" spans="1:4" ht="20.399999999999999" x14ac:dyDescent="0.3">
      <c r="A166" s="102"/>
      <c r="B166" s="22"/>
      <c r="C166" s="33"/>
      <c r="D166" s="33"/>
    </row>
    <row r="167" spans="1:4" ht="20.399999999999999" x14ac:dyDescent="0.3">
      <c r="A167" s="102"/>
      <c r="B167" s="22"/>
      <c r="C167" s="33"/>
      <c r="D167" s="33"/>
    </row>
    <row r="168" spans="1:4" ht="20.399999999999999" x14ac:dyDescent="0.3">
      <c r="A168" s="102"/>
      <c r="B168" s="22"/>
      <c r="C168" s="33"/>
      <c r="D168" s="33"/>
    </row>
    <row r="169" spans="1:4" ht="20.399999999999999" x14ac:dyDescent="0.3">
      <c r="A169" s="102"/>
      <c r="B169" s="22"/>
      <c r="C169" s="33"/>
      <c r="D169" s="33"/>
    </row>
    <row r="170" spans="1:4" ht="20.399999999999999" x14ac:dyDescent="0.3">
      <c r="A170" s="102"/>
      <c r="B170" s="22"/>
      <c r="C170" s="33"/>
      <c r="D170" s="33"/>
    </row>
    <row r="171" spans="1:4" ht="20.399999999999999" x14ac:dyDescent="0.3">
      <c r="A171" s="102"/>
      <c r="B171" s="22"/>
      <c r="C171" s="33"/>
      <c r="D171" s="33"/>
    </row>
    <row r="172" spans="1:4" ht="20.399999999999999" x14ac:dyDescent="0.3">
      <c r="A172" s="102"/>
      <c r="B172" s="22"/>
      <c r="C172" s="33"/>
      <c r="D172" s="33"/>
    </row>
    <row r="173" spans="1:4" ht="20.399999999999999" x14ac:dyDescent="0.3">
      <c r="A173" s="102"/>
      <c r="B173" s="22"/>
      <c r="C173" s="33"/>
      <c r="D173" s="33"/>
    </row>
    <row r="174" spans="1:4" ht="20.399999999999999" x14ac:dyDescent="0.3">
      <c r="A174" s="102"/>
      <c r="B174" s="22"/>
      <c r="C174" s="33"/>
      <c r="D174" s="33"/>
    </row>
    <row r="175" spans="1:4" ht="20.399999999999999" x14ac:dyDescent="0.3">
      <c r="A175" s="102"/>
      <c r="B175" s="22"/>
      <c r="C175" s="33"/>
      <c r="D175" s="33"/>
    </row>
    <row r="176" spans="1:4" ht="20.399999999999999" x14ac:dyDescent="0.3">
      <c r="A176" s="102"/>
      <c r="B176" s="22"/>
      <c r="C176" s="33"/>
      <c r="D176" s="33"/>
    </row>
    <row r="177" spans="1:4" ht="20.399999999999999" x14ac:dyDescent="0.3">
      <c r="A177" s="102"/>
      <c r="B177" s="22"/>
      <c r="C177" s="33"/>
      <c r="D177" s="33"/>
    </row>
    <row r="178" spans="1:4" ht="20.399999999999999" x14ac:dyDescent="0.3">
      <c r="A178" s="102"/>
      <c r="B178" s="22"/>
      <c r="C178" s="33"/>
      <c r="D178" s="33"/>
    </row>
    <row r="179" spans="1:4" ht="20.399999999999999" x14ac:dyDescent="0.3">
      <c r="A179" s="102"/>
      <c r="B179" s="22"/>
      <c r="C179" s="33"/>
      <c r="D179" s="33"/>
    </row>
    <row r="180" spans="1:4" ht="20.399999999999999" x14ac:dyDescent="0.3">
      <c r="A180" s="102"/>
      <c r="B180" s="22"/>
      <c r="C180" s="33"/>
      <c r="D180" s="33"/>
    </row>
    <row r="181" spans="1:4" ht="20.399999999999999" x14ac:dyDescent="0.3">
      <c r="A181" s="102"/>
      <c r="B181" s="22"/>
      <c r="C181" s="33"/>
      <c r="D181" s="33"/>
    </row>
    <row r="182" spans="1:4" ht="20.399999999999999" x14ac:dyDescent="0.3">
      <c r="A182" s="102"/>
      <c r="B182" s="22"/>
      <c r="C182" s="33"/>
      <c r="D182" s="33"/>
    </row>
    <row r="183" spans="1:4" ht="20.399999999999999" x14ac:dyDescent="0.3">
      <c r="A183" s="102"/>
      <c r="B183" s="22"/>
      <c r="C183" s="33"/>
      <c r="D183" s="33"/>
    </row>
    <row r="184" spans="1:4" ht="20.399999999999999" x14ac:dyDescent="0.3">
      <c r="A184" s="102"/>
      <c r="B184" s="22"/>
      <c r="C184" s="33"/>
      <c r="D184" s="33"/>
    </row>
    <row r="185" spans="1:4" ht="20.399999999999999" x14ac:dyDescent="0.3">
      <c r="A185" s="102"/>
      <c r="B185" s="22"/>
      <c r="C185" s="33"/>
      <c r="D185" s="33"/>
    </row>
    <row r="186" spans="1:4" ht="20.399999999999999" x14ac:dyDescent="0.3">
      <c r="A186" s="102"/>
      <c r="B186" s="22"/>
      <c r="C186" s="33"/>
      <c r="D186" s="33"/>
    </row>
    <row r="187" spans="1:4" ht="20.399999999999999" x14ac:dyDescent="0.3">
      <c r="A187" s="102"/>
      <c r="B187" s="22"/>
      <c r="C187" s="33"/>
      <c r="D187" s="33"/>
    </row>
    <row r="188" spans="1:4" ht="20.399999999999999" x14ac:dyDescent="0.3">
      <c r="A188" s="102"/>
      <c r="B188" s="22"/>
      <c r="C188" s="33"/>
      <c r="D188" s="33"/>
    </row>
    <row r="189" spans="1:4" ht="20.399999999999999" x14ac:dyDescent="0.3">
      <c r="A189" s="102"/>
      <c r="B189" s="22"/>
      <c r="C189" s="33"/>
      <c r="D189" s="33"/>
    </row>
    <row r="190" spans="1:4" ht="20.399999999999999" x14ac:dyDescent="0.3">
      <c r="A190" s="102"/>
      <c r="B190" s="22"/>
      <c r="C190" s="33"/>
      <c r="D190" s="33"/>
    </row>
    <row r="191" spans="1:4" ht="20.399999999999999" x14ac:dyDescent="0.3">
      <c r="A191" s="102"/>
      <c r="B191" s="22"/>
      <c r="C191" s="33"/>
      <c r="D191" s="33"/>
    </row>
    <row r="192" spans="1:4" ht="20.399999999999999" x14ac:dyDescent="0.3">
      <c r="A192" s="102"/>
      <c r="B192" s="22"/>
      <c r="C192" s="33"/>
      <c r="D192" s="33"/>
    </row>
    <row r="193" spans="1:4" ht="20.399999999999999" x14ac:dyDescent="0.3">
      <c r="A193" s="102"/>
      <c r="B193" s="22"/>
      <c r="C193" s="33"/>
      <c r="D193" s="33"/>
    </row>
    <row r="194" spans="1:4" ht="20.399999999999999" x14ac:dyDescent="0.3">
      <c r="A194" s="102"/>
      <c r="B194" s="22"/>
      <c r="C194" s="33"/>
      <c r="D194" s="33"/>
    </row>
    <row r="195" spans="1:4" ht="20.399999999999999" x14ac:dyDescent="0.3">
      <c r="A195" s="102"/>
      <c r="B195" s="22"/>
      <c r="C195" s="33"/>
      <c r="D195" s="33"/>
    </row>
    <row r="196" spans="1:4" ht="20.399999999999999" x14ac:dyDescent="0.3">
      <c r="A196" s="102"/>
      <c r="B196" s="22"/>
      <c r="C196" s="33"/>
      <c r="D196" s="33"/>
    </row>
    <row r="197" spans="1:4" ht="20.399999999999999" x14ac:dyDescent="0.3">
      <c r="A197" s="102"/>
      <c r="B197" s="22"/>
      <c r="C197" s="33"/>
      <c r="D197" s="33"/>
    </row>
    <row r="198" spans="1:4" ht="20.399999999999999" x14ac:dyDescent="0.3">
      <c r="A198" s="102"/>
      <c r="B198" s="22"/>
      <c r="C198" s="33"/>
      <c r="D198" s="33"/>
    </row>
    <row r="199" spans="1:4" ht="20.399999999999999" x14ac:dyDescent="0.3">
      <c r="A199" s="102"/>
      <c r="B199" s="22"/>
      <c r="C199" s="33"/>
      <c r="D199" s="33"/>
    </row>
    <row r="200" spans="1:4" ht="20.399999999999999" x14ac:dyDescent="0.3">
      <c r="A200" s="102"/>
      <c r="B200" s="22"/>
      <c r="C200" s="33"/>
      <c r="D200" s="33"/>
    </row>
    <row r="201" spans="1:4" ht="20.399999999999999" x14ac:dyDescent="0.3">
      <c r="A201" s="102"/>
      <c r="B201" s="22"/>
      <c r="C201" s="33"/>
      <c r="D201" s="33"/>
    </row>
    <row r="202" spans="1:4" ht="20.399999999999999" x14ac:dyDescent="0.3">
      <c r="A202" s="102"/>
      <c r="B202" s="22"/>
      <c r="C202" s="33"/>
      <c r="D202" s="33"/>
    </row>
    <row r="203" spans="1:4" ht="20.399999999999999" x14ac:dyDescent="0.3">
      <c r="A203" s="102"/>
      <c r="B203" s="22"/>
      <c r="C203" s="33"/>
      <c r="D203" s="33"/>
    </row>
    <row r="204" spans="1:4" ht="20.399999999999999" x14ac:dyDescent="0.3">
      <c r="A204" s="102"/>
      <c r="B204" s="22"/>
      <c r="C204" s="33"/>
      <c r="D204" s="33"/>
    </row>
    <row r="205" spans="1:4" ht="20.399999999999999" x14ac:dyDescent="0.3">
      <c r="A205" s="102"/>
      <c r="B205" s="22"/>
      <c r="C205" s="33"/>
      <c r="D205" s="33"/>
    </row>
    <row r="206" spans="1:4" ht="20.399999999999999" x14ac:dyDescent="0.3">
      <c r="A206" s="102"/>
      <c r="B206" s="22"/>
      <c r="C206" s="33"/>
      <c r="D206" s="33"/>
    </row>
    <row r="207" spans="1:4" ht="20.399999999999999" x14ac:dyDescent="0.3">
      <c r="A207" s="102"/>
      <c r="B207" s="22"/>
      <c r="C207" s="33"/>
      <c r="D207" s="33"/>
    </row>
    <row r="208" spans="1:4" x14ac:dyDescent="0.3">
      <c r="A208" s="82"/>
      <c r="B208" s="22"/>
      <c r="C208" s="22"/>
      <c r="D208" s="22"/>
    </row>
    <row r="209" spans="1:8" ht="20.399999999999999" x14ac:dyDescent="0.3">
      <c r="A209" s="82"/>
      <c r="B209" s="29" t="s">
        <v>87</v>
      </c>
      <c r="C209" s="29" t="s">
        <v>142</v>
      </c>
      <c r="D209" s="32" t="s">
        <v>87</v>
      </c>
      <c r="E209" s="32" t="s">
        <v>142</v>
      </c>
    </row>
    <row r="210" spans="1:8" ht="21" x14ac:dyDescent="0.4">
      <c r="A210" s="82"/>
      <c r="B210" s="30" t="s">
        <v>89</v>
      </c>
      <c r="C210" s="30" t="s">
        <v>57</v>
      </c>
      <c r="D210" t="s">
        <v>89</v>
      </c>
      <c r="F210" t="str">
        <f>IF(NOT(ISBLANK(D210)),D210,IF(NOT(ISBLANK(E210)),"     "&amp;E210,FALSE))</f>
        <v>Afectación Económica o presupuestal</v>
      </c>
      <c r="G210" t="s">
        <v>89</v>
      </c>
      <c r="H210" t="str">
        <f>IF(NOT(ISERROR(MATCH(G210,_xlfn.ANCHORARRAY(B221),0))),F223&amp;"Por favor no seleccionar los criterios de impacto",G210)</f>
        <v>❌Por favor no seleccionar los criterios de impacto</v>
      </c>
    </row>
    <row r="211" spans="1:8" ht="21" x14ac:dyDescent="0.4">
      <c r="A211" s="82"/>
      <c r="B211" s="30" t="s">
        <v>89</v>
      </c>
      <c r="C211" s="30" t="s">
        <v>92</v>
      </c>
      <c r="E211" t="s">
        <v>57</v>
      </c>
      <c r="F211" t="str">
        <f t="shared" ref="F211:F221" si="0">IF(NOT(ISBLANK(D211)),D211,IF(NOT(ISBLANK(E211)),"     "&amp;E211,FALSE))</f>
        <v xml:space="preserve">     Afectación menor a 10 SMLMV .</v>
      </c>
    </row>
    <row r="212" spans="1:8" ht="21" x14ac:dyDescent="0.4">
      <c r="A212" s="82"/>
      <c r="B212" s="30" t="s">
        <v>89</v>
      </c>
      <c r="C212" s="30" t="s">
        <v>93</v>
      </c>
      <c r="E212" t="s">
        <v>92</v>
      </c>
      <c r="F212" t="str">
        <f t="shared" si="0"/>
        <v xml:space="preserve">     Entre 10 y 50 SMLMV </v>
      </c>
    </row>
    <row r="213" spans="1:8" ht="21" x14ac:dyDescent="0.4">
      <c r="A213" s="82"/>
      <c r="B213" s="30" t="s">
        <v>89</v>
      </c>
      <c r="C213" s="30" t="s">
        <v>94</v>
      </c>
      <c r="E213" t="s">
        <v>93</v>
      </c>
      <c r="F213" t="str">
        <f t="shared" si="0"/>
        <v xml:space="preserve">     Entre 50 y 100 SMLMV </v>
      </c>
    </row>
    <row r="214" spans="1:8" ht="21" x14ac:dyDescent="0.4">
      <c r="A214" s="82"/>
      <c r="B214" s="30" t="s">
        <v>89</v>
      </c>
      <c r="C214" s="30" t="s">
        <v>95</v>
      </c>
      <c r="E214" t="s">
        <v>94</v>
      </c>
      <c r="F214" t="str">
        <f t="shared" si="0"/>
        <v xml:space="preserve">     Entre 100 y 500 SMLMV </v>
      </c>
    </row>
    <row r="215" spans="1:8" ht="21" x14ac:dyDescent="0.4">
      <c r="A215" s="82"/>
      <c r="B215" s="30" t="s">
        <v>56</v>
      </c>
      <c r="C215" s="30" t="s">
        <v>96</v>
      </c>
      <c r="E215" t="s">
        <v>95</v>
      </c>
      <c r="F215" t="str">
        <f t="shared" si="0"/>
        <v xml:space="preserve">     Mayor a 500 SMLMV </v>
      </c>
    </row>
    <row r="216" spans="1:8" ht="21" x14ac:dyDescent="0.4">
      <c r="A216" s="82"/>
      <c r="B216" s="30" t="s">
        <v>56</v>
      </c>
      <c r="C216" s="30" t="s">
        <v>97</v>
      </c>
      <c r="D216" t="s">
        <v>56</v>
      </c>
      <c r="F216" t="str">
        <f t="shared" si="0"/>
        <v>Pérdida Reputacional</v>
      </c>
    </row>
    <row r="217" spans="1:8" ht="21" x14ac:dyDescent="0.4">
      <c r="A217" s="82"/>
      <c r="B217" s="30" t="s">
        <v>56</v>
      </c>
      <c r="C217" s="30" t="s">
        <v>99</v>
      </c>
      <c r="E217" t="s">
        <v>96</v>
      </c>
      <c r="F217" t="str">
        <f t="shared" si="0"/>
        <v xml:space="preserve">     El riesgo afecta la imagen de alguna área de la organización</v>
      </c>
    </row>
    <row r="218" spans="1:8" ht="21" x14ac:dyDescent="0.4">
      <c r="A218" s="82"/>
      <c r="B218" s="30" t="s">
        <v>56</v>
      </c>
      <c r="C218" s="30" t="s">
        <v>98</v>
      </c>
      <c r="E218" t="s">
        <v>97</v>
      </c>
      <c r="F218" t="str">
        <f t="shared" si="0"/>
        <v xml:space="preserve">     El riesgo afecta la imagen de la entidad internamente, de conocimiento general, nivel interno, de junta dircetiva y accionistas y/o de provedores</v>
      </c>
    </row>
    <row r="219" spans="1:8" ht="21" x14ac:dyDescent="0.4">
      <c r="A219" s="82"/>
      <c r="B219" s="30" t="s">
        <v>56</v>
      </c>
      <c r="C219" s="30" t="s">
        <v>117</v>
      </c>
      <c r="E219" t="s">
        <v>99</v>
      </c>
      <c r="F219" t="str">
        <f t="shared" si="0"/>
        <v xml:space="preserve">     El riesgo afecta la imagen de la entidad con algunos usuarios de relevancia frente al logro de los objetivos</v>
      </c>
    </row>
    <row r="220" spans="1:8" x14ac:dyDescent="0.3">
      <c r="A220" s="82"/>
      <c r="B220" s="31"/>
      <c r="C220" s="31"/>
      <c r="E220" t="s">
        <v>98</v>
      </c>
      <c r="F220" t="str">
        <f t="shared" si="0"/>
        <v xml:space="preserve">     El riesgo afecta la imagen de de la entidad con efecto publicitario sostenido a nivel de sector administrativo, nivel departamental o municipal</v>
      </c>
    </row>
    <row r="221" spans="1:8" x14ac:dyDescent="0.3">
      <c r="A221" s="82"/>
      <c r="B221" s="31" t="str" cm="1">
        <f t="array" ref="B221:B223">_xlfn.UNIQUE(Tabla1[[#All],[Criterios]])</f>
        <v>Criterios</v>
      </c>
      <c r="C221" s="31"/>
      <c r="E221" t="s">
        <v>117</v>
      </c>
      <c r="F221" t="str">
        <f t="shared" si="0"/>
        <v xml:space="preserve">     El riesgo afecta la imagen de la entidad a nivel nacional, con efecto publicitarios sostenible a nivel país</v>
      </c>
    </row>
    <row r="222" spans="1:8" x14ac:dyDescent="0.3">
      <c r="A222" s="82"/>
      <c r="B222" s="31" t="str">
        <v>Afectación Económica o presupuestal</v>
      </c>
      <c r="C222" s="31"/>
    </row>
    <row r="223" spans="1:8" x14ac:dyDescent="0.3">
      <c r="B223" s="31" t="str">
        <v>Pérdida Reputacional</v>
      </c>
      <c r="C223" s="31"/>
      <c r="F223" s="34" t="s">
        <v>144</v>
      </c>
    </row>
    <row r="224" spans="1:8" x14ac:dyDescent="0.3">
      <c r="B224" s="21"/>
      <c r="C224" s="21"/>
      <c r="F224" s="34" t="s">
        <v>145</v>
      </c>
    </row>
    <row r="225" spans="2:4" x14ac:dyDescent="0.3">
      <c r="B225" s="21"/>
      <c r="C225" s="21"/>
    </row>
    <row r="226" spans="2:4" x14ac:dyDescent="0.3">
      <c r="B226" s="21"/>
      <c r="C226" s="21"/>
    </row>
    <row r="227" spans="2:4" x14ac:dyDescent="0.3">
      <c r="B227" s="21"/>
      <c r="C227" s="21"/>
      <c r="D227" s="21"/>
    </row>
    <row r="228" spans="2:4" x14ac:dyDescent="0.3">
      <c r="B228" s="21"/>
      <c r="C228" s="21"/>
      <c r="D228" s="21"/>
    </row>
    <row r="229" spans="2:4" x14ac:dyDescent="0.3">
      <c r="B229" s="21"/>
      <c r="C229" s="21"/>
      <c r="D229" s="21"/>
    </row>
    <row r="230" spans="2:4" x14ac:dyDescent="0.3">
      <c r="B230" s="21"/>
      <c r="C230" s="21"/>
      <c r="D230" s="21"/>
    </row>
    <row r="231" spans="2:4" x14ac:dyDescent="0.3">
      <c r="B231" s="21"/>
      <c r="C231" s="21"/>
      <c r="D231" s="21"/>
    </row>
    <row r="232" spans="2:4" x14ac:dyDescent="0.3">
      <c r="B232" s="21"/>
      <c r="C232" s="21"/>
      <c r="D232" s="21"/>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heetViews>
  <sheetFormatPr baseColWidth="10" defaultColWidth="14.33203125" defaultRowHeight="13.8" x14ac:dyDescent="0.3"/>
  <cols>
    <col min="1" max="2" width="14.33203125" style="87"/>
    <col min="3" max="3" width="17" style="87" customWidth="1"/>
    <col min="4" max="4" width="14.33203125" style="87"/>
    <col min="5" max="5" width="46" style="87" customWidth="1"/>
    <col min="6" max="16384" width="14.33203125" style="87"/>
  </cols>
  <sheetData>
    <row r="1" spans="2:6" ht="24" customHeight="1" thickBot="1" x14ac:dyDescent="0.35">
      <c r="B1" s="439" t="s">
        <v>77</v>
      </c>
      <c r="C1" s="440"/>
      <c r="D1" s="440"/>
      <c r="E1" s="440"/>
      <c r="F1" s="441"/>
    </row>
    <row r="2" spans="2:6" ht="16.2" thickBot="1" x14ac:dyDescent="0.35">
      <c r="B2" s="88"/>
      <c r="C2" s="88"/>
      <c r="D2" s="88"/>
      <c r="E2" s="88"/>
      <c r="F2" s="88"/>
    </row>
    <row r="3" spans="2:6" ht="16.2" thickBot="1" x14ac:dyDescent="0.35">
      <c r="B3" s="443" t="s">
        <v>63</v>
      </c>
      <c r="C3" s="444"/>
      <c r="D3" s="444"/>
      <c r="E3" s="100" t="s">
        <v>64</v>
      </c>
      <c r="F3" s="101" t="s">
        <v>65</v>
      </c>
    </row>
    <row r="4" spans="2:6" ht="31.2" x14ac:dyDescent="0.3">
      <c r="B4" s="445" t="s">
        <v>66</v>
      </c>
      <c r="C4" s="447" t="s">
        <v>13</v>
      </c>
      <c r="D4" s="89" t="s">
        <v>14</v>
      </c>
      <c r="E4" s="90" t="s">
        <v>67</v>
      </c>
      <c r="F4" s="91">
        <v>0.25</v>
      </c>
    </row>
    <row r="5" spans="2:6" ht="46.8" x14ac:dyDescent="0.3">
      <c r="B5" s="446"/>
      <c r="C5" s="448"/>
      <c r="D5" s="92" t="s">
        <v>15</v>
      </c>
      <c r="E5" s="93" t="s">
        <v>68</v>
      </c>
      <c r="F5" s="94">
        <v>0.15</v>
      </c>
    </row>
    <row r="6" spans="2:6" ht="46.8" x14ac:dyDescent="0.3">
      <c r="B6" s="446"/>
      <c r="C6" s="448"/>
      <c r="D6" s="92" t="s">
        <v>16</v>
      </c>
      <c r="E6" s="93" t="s">
        <v>69</v>
      </c>
      <c r="F6" s="94">
        <v>0.1</v>
      </c>
    </row>
    <row r="7" spans="2:6" ht="62.4" x14ac:dyDescent="0.3">
      <c r="B7" s="446"/>
      <c r="C7" s="448" t="s">
        <v>17</v>
      </c>
      <c r="D7" s="92" t="s">
        <v>10</v>
      </c>
      <c r="E7" s="93" t="s">
        <v>70</v>
      </c>
      <c r="F7" s="94">
        <v>0.25</v>
      </c>
    </row>
    <row r="8" spans="2:6" ht="31.2" x14ac:dyDescent="0.3">
      <c r="B8" s="446"/>
      <c r="C8" s="448"/>
      <c r="D8" s="92" t="s">
        <v>9</v>
      </c>
      <c r="E8" s="93" t="s">
        <v>71</v>
      </c>
      <c r="F8" s="94">
        <v>0.15</v>
      </c>
    </row>
    <row r="9" spans="2:6" ht="46.8" x14ac:dyDescent="0.3">
      <c r="B9" s="446" t="s">
        <v>159</v>
      </c>
      <c r="C9" s="448" t="s">
        <v>18</v>
      </c>
      <c r="D9" s="92" t="s">
        <v>19</v>
      </c>
      <c r="E9" s="93" t="s">
        <v>72</v>
      </c>
      <c r="F9" s="95" t="s">
        <v>73</v>
      </c>
    </row>
    <row r="10" spans="2:6" ht="46.8" x14ac:dyDescent="0.3">
      <c r="B10" s="446"/>
      <c r="C10" s="448"/>
      <c r="D10" s="92" t="s">
        <v>20</v>
      </c>
      <c r="E10" s="93" t="s">
        <v>74</v>
      </c>
      <c r="F10" s="95" t="s">
        <v>73</v>
      </c>
    </row>
    <row r="11" spans="2:6" ht="46.8" x14ac:dyDescent="0.3">
      <c r="B11" s="446"/>
      <c r="C11" s="448" t="s">
        <v>21</v>
      </c>
      <c r="D11" s="92" t="s">
        <v>22</v>
      </c>
      <c r="E11" s="93" t="s">
        <v>75</v>
      </c>
      <c r="F11" s="95" t="s">
        <v>73</v>
      </c>
    </row>
    <row r="12" spans="2:6" ht="46.8" x14ac:dyDescent="0.3">
      <c r="B12" s="446"/>
      <c r="C12" s="448"/>
      <c r="D12" s="92" t="s">
        <v>23</v>
      </c>
      <c r="E12" s="93" t="s">
        <v>76</v>
      </c>
      <c r="F12" s="95" t="s">
        <v>73</v>
      </c>
    </row>
    <row r="13" spans="2:6" ht="31.2" x14ac:dyDescent="0.3">
      <c r="B13" s="446"/>
      <c r="C13" s="448" t="s">
        <v>24</v>
      </c>
      <c r="D13" s="92" t="s">
        <v>118</v>
      </c>
      <c r="E13" s="93" t="s">
        <v>121</v>
      </c>
      <c r="F13" s="95" t="s">
        <v>73</v>
      </c>
    </row>
    <row r="14" spans="2:6" ht="16.2" thickBot="1" x14ac:dyDescent="0.35">
      <c r="B14" s="449"/>
      <c r="C14" s="450"/>
      <c r="D14" s="96" t="s">
        <v>119</v>
      </c>
      <c r="E14" s="97" t="s">
        <v>120</v>
      </c>
      <c r="F14" s="98" t="s">
        <v>73</v>
      </c>
    </row>
    <row r="15" spans="2:6" ht="49.5" customHeight="1" x14ac:dyDescent="0.3">
      <c r="B15" s="442" t="s">
        <v>156</v>
      </c>
      <c r="C15" s="442"/>
      <c r="D15" s="442"/>
      <c r="E15" s="442"/>
      <c r="F15" s="442"/>
    </row>
    <row r="16" spans="2:6" ht="27" customHeight="1" x14ac:dyDescent="0.3">
      <c r="B16" s="99"/>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4.4" x14ac:dyDescent="0.3"/>
  <sheetData>
    <row r="2" spans="2:5" x14ac:dyDescent="0.3">
      <c r="B2" t="s">
        <v>31</v>
      </c>
      <c r="E2" t="s">
        <v>131</v>
      </c>
    </row>
    <row r="3" spans="2:5" x14ac:dyDescent="0.3">
      <c r="B3" t="s">
        <v>32</v>
      </c>
      <c r="E3" t="s">
        <v>130</v>
      </c>
    </row>
    <row r="4" spans="2:5" x14ac:dyDescent="0.3">
      <c r="B4" t="s">
        <v>135</v>
      </c>
      <c r="E4" t="s">
        <v>132</v>
      </c>
    </row>
    <row r="5" spans="2:5" x14ac:dyDescent="0.3">
      <c r="B5" t="s">
        <v>134</v>
      </c>
    </row>
    <row r="8" spans="2:5" x14ac:dyDescent="0.3">
      <c r="B8" t="s">
        <v>85</v>
      </c>
    </row>
    <row r="9" spans="2:5" x14ac:dyDescent="0.3">
      <c r="B9" t="s">
        <v>39</v>
      </c>
    </row>
    <row r="10" spans="2:5" x14ac:dyDescent="0.3">
      <c r="B10" t="s">
        <v>40</v>
      </c>
    </row>
    <row r="13" spans="2:5" x14ac:dyDescent="0.3">
      <c r="B13" t="s">
        <v>128</v>
      </c>
    </row>
    <row r="14" spans="2:5" x14ac:dyDescent="0.3">
      <c r="B14" t="s">
        <v>122</v>
      </c>
    </row>
    <row r="15" spans="2:5" x14ac:dyDescent="0.3">
      <c r="B15" t="s">
        <v>125</v>
      </c>
    </row>
    <row r="16" spans="2:5" x14ac:dyDescent="0.3">
      <c r="B16" t="s">
        <v>123</v>
      </c>
    </row>
    <row r="17" spans="2:2" x14ac:dyDescent="0.3">
      <c r="B17" t="s">
        <v>124</v>
      </c>
    </row>
    <row r="18" spans="2:2" x14ac:dyDescent="0.3">
      <c r="B18" t="s">
        <v>126</v>
      </c>
    </row>
    <row r="19" spans="2:2" x14ac:dyDescent="0.3">
      <c r="B19" t="s">
        <v>127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4140625" defaultRowHeight="13.8" x14ac:dyDescent="0.3"/>
  <cols>
    <col min="1" max="1" width="32.88671875" style="8" customWidth="1"/>
    <col min="2" max="16384" width="11.44140625" style="8"/>
  </cols>
  <sheetData>
    <row r="3" spans="1:1" x14ac:dyDescent="0.3">
      <c r="A3" s="9" t="s">
        <v>14</v>
      </c>
    </row>
    <row r="4" spans="1:1" x14ac:dyDescent="0.3">
      <c r="A4" s="9" t="s">
        <v>15</v>
      </c>
    </row>
    <row r="5" spans="1:1" x14ac:dyDescent="0.3">
      <c r="A5" s="9" t="s">
        <v>16</v>
      </c>
    </row>
    <row r="6" spans="1:1" x14ac:dyDescent="0.3">
      <c r="A6" s="9" t="s">
        <v>10</v>
      </c>
    </row>
    <row r="7" spans="1:1" x14ac:dyDescent="0.3">
      <c r="A7" s="9" t="s">
        <v>9</v>
      </c>
    </row>
    <row r="8" spans="1:1" x14ac:dyDescent="0.3">
      <c r="A8" s="9" t="s">
        <v>19</v>
      </c>
    </row>
    <row r="9" spans="1:1" x14ac:dyDescent="0.3">
      <c r="A9" s="9" t="s">
        <v>20</v>
      </c>
    </row>
    <row r="10" spans="1:1" x14ac:dyDescent="0.3">
      <c r="A10" s="9" t="s">
        <v>22</v>
      </c>
    </row>
    <row r="11" spans="1:1" x14ac:dyDescent="0.3">
      <c r="A11" s="9" t="s">
        <v>23</v>
      </c>
    </row>
    <row r="12" spans="1:1" x14ac:dyDescent="0.3">
      <c r="A12" s="9" t="s">
        <v>25</v>
      </c>
    </row>
    <row r="13" spans="1:1" x14ac:dyDescent="0.3">
      <c r="A13" s="9" t="s">
        <v>26</v>
      </c>
    </row>
    <row r="14" spans="1:1" x14ac:dyDescent="0.3">
      <c r="A14" s="9" t="s">
        <v>27</v>
      </c>
    </row>
    <row r="16" spans="1:1" x14ac:dyDescent="0.3">
      <c r="A16" s="9" t="s">
        <v>30</v>
      </c>
    </row>
    <row r="17" spans="1:1" x14ac:dyDescent="0.3">
      <c r="A17" s="9" t="s">
        <v>31</v>
      </c>
    </row>
    <row r="18" spans="1:1" x14ac:dyDescent="0.3">
      <c r="A18" s="9" t="s">
        <v>32</v>
      </c>
    </row>
    <row r="20" spans="1:1" x14ac:dyDescent="0.3">
      <c r="A20" s="9" t="s">
        <v>39</v>
      </c>
    </row>
    <row r="21" spans="1:1" x14ac:dyDescent="0.3">
      <c r="A21" s="9"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QUE TE IMPORTA</cp:lastModifiedBy>
  <cp:lastPrinted>2020-05-13T01:12:22Z</cp:lastPrinted>
  <dcterms:created xsi:type="dcterms:W3CDTF">2020-03-24T23:12:47Z</dcterms:created>
  <dcterms:modified xsi:type="dcterms:W3CDTF">2023-09-05T17:22:23Z</dcterms:modified>
</cp:coreProperties>
</file>